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0" tabRatio="854" activeTab="5"/>
  </bookViews>
  <sheets>
    <sheet name="编制说明" sheetId="30" r:id="rId1"/>
    <sheet name="标段划分报价汇总表" sheetId="29" r:id="rId2"/>
    <sheet name="楼栋报价汇总表" sheetId="28" r:id="rId3"/>
    <sheet name="其它工作项目计价表" sheetId="40" r:id="rId4"/>
    <sheet name="F食堂2#（F食堂1#）" sheetId="27" r:id="rId5"/>
    <sheet name="F后勤服务中心" sheetId="26" r:id="rId6"/>
    <sheet name="F训1#（F训2#）" sheetId="5" r:id="rId7"/>
    <sheet name="E训1#（A训2#、A训1#、E训2#）" sheetId="17" r:id="rId8"/>
    <sheet name="A训5#、A训4#（A训3#，H训1#，H训2#）." sheetId="22" r:id="rId9"/>
    <sheet name="H训3#（H训4#A训6#E训4#E训3#F训3#F训4#" sheetId="23" r:id="rId10"/>
    <sheet name="F宿9#10（F宿3~8#、F宿11#~14#" sheetId="18" r:id="rId11"/>
    <sheet name="F宿1#2#（套）" sheetId="39" r:id="rId12"/>
    <sheet name="F教1#~F教4#、E教1#~E教6#" sheetId="38" r:id="rId13"/>
    <sheet name="A教1#2#" sheetId="37" r:id="rId14"/>
    <sheet name="H行政1#-H行政2#" sheetId="36" r:id="rId15"/>
    <sheet name="H图文信息中心" sheetId="35" r:id="rId16"/>
    <sheet name="G综合楼" sheetId="34" r:id="rId17"/>
    <sheet name="F医1#-F医2#" sheetId="33" r:id="rId18"/>
    <sheet name="H艺院1#2#" sheetId="32" r:id="rId19"/>
    <sheet name="游泳馆" sheetId="31" r:id="rId20"/>
  </sheets>
  <externalReferences>
    <externalReference r:id="rId22"/>
    <externalReference r:id="rId23"/>
  </externalReferences>
  <definedNames>
    <definedName name="_xlnm._FilterDatabase" localSheetId="4" hidden="1">'F食堂2#（F食堂1#）'!$A$2:$N$61</definedName>
    <definedName name="_xlnm._FilterDatabase" localSheetId="5" hidden="1">F后勤服务中心!$A$2:$N$60</definedName>
    <definedName name="_xlnm._FilterDatabase" localSheetId="6" hidden="1">'F训1#（F训2#）'!$A$2:$M$40</definedName>
    <definedName name="_xlnm._FilterDatabase" localSheetId="7" hidden="1">'E训1#（A训2#、A训1#、E训2#）'!$A$2:$M$60</definedName>
    <definedName name="_xlnm._FilterDatabase" localSheetId="8" hidden="1">'A训5#、A训4#（A训3#，H训1#，H训2#）.'!$A$2:$M$40</definedName>
    <definedName name="_xlnm._FilterDatabase" localSheetId="9" hidden="1">'H训3#（H训4#A训6#E训4#E训3#F训3#F训4#'!$A$2:$M$40</definedName>
    <definedName name="_xlnm._FilterDatabase" localSheetId="10" hidden="1">'F宿9#10（F宿3~8#、F宿11#~14#'!$A$2:$M$52</definedName>
    <definedName name="_xlnm._FilterDatabase" localSheetId="11" hidden="1">'F宿1#2#（套）'!$A$2:$M$57</definedName>
    <definedName name="_xlnm._FilterDatabase" localSheetId="12" hidden="1">'F教1#~F教4#、E教1#~E教6#'!$A$2:$O$40</definedName>
    <definedName name="_xlnm._FilterDatabase" localSheetId="13" hidden="1">'A教1#2#'!$A$2:$O$40</definedName>
    <definedName name="_xlnm._FilterDatabase" localSheetId="14" hidden="1">'H行政1#-H行政2#'!$A$3:$M$67</definedName>
    <definedName name="_xlnm._FilterDatabase" localSheetId="15" hidden="1">H图文信息中心!$A$4:$O$118</definedName>
    <definedName name="_xlnm._FilterDatabase" localSheetId="16" hidden="1">G综合楼!$A$4:$M$136</definedName>
    <definedName name="_xlnm._FilterDatabase" localSheetId="17" hidden="1">'F医1#-F医2#'!$A$2:$M$46</definedName>
    <definedName name="_xlnm._FilterDatabase" localSheetId="18" hidden="1">'H艺院1#2#'!$A$2:$O$63</definedName>
    <definedName name="_xlnm._FilterDatabase" localSheetId="19" hidden="1">游泳馆!$A$2:$M$60</definedName>
    <definedName name="_xlnm.Print_Area" localSheetId="8">'A训5#、A训4#（A训3#，H训1#，H训2#）.'!$A$1:$M$40</definedName>
    <definedName name="_xlnm.Print_Area" localSheetId="7">'E训1#（A训2#、A训1#、E训2#）'!$A$1:$M$40</definedName>
    <definedName name="_xlnm.Print_Area" localSheetId="5">F后勤服务中心!$A$1:$M$40</definedName>
    <definedName name="_xlnm.Print_Area" localSheetId="4">'F食堂2#（F食堂1#）'!$A$1:$M$41</definedName>
    <definedName name="_xlnm.Print_Area" localSheetId="10">'F宿9#10（F宿3~8#、F宿11#~14#'!$A$1:$M$52</definedName>
    <definedName name="_xlnm.Print_Area" localSheetId="6">'F训1#（F训2#）'!$A$1:$M$40</definedName>
    <definedName name="_xlnm.Print_Area" localSheetId="9">'H训3#（H训4#A训6#E训4#E训3#F训3#F训4#'!$A$1:$M$40</definedName>
    <definedName name="_xlnm.Print_Area" localSheetId="2">楼栋报价汇总表!$A$1:$G$44</definedName>
    <definedName name="_xlnm.Print_Area" localSheetId="1">标段划分报价汇总表!$A$1:$H$50</definedName>
    <definedName name="_xlnm.Print_Area" localSheetId="0">编制说明!$A$1:$A$38</definedName>
    <definedName name="_xlnm.Print_Area" localSheetId="19">游泳馆!$A$1:$M$40</definedName>
    <definedName name="_xlnm.Print_Area" localSheetId="18">'H艺院1#2#'!$A$1:$M$47</definedName>
    <definedName name="_xlnm.Print_Titles" localSheetId="18">'H艺院1#2#'!$1:$4</definedName>
    <definedName name="_xlnm.Print_Area" localSheetId="17">'F医1#-F医2#'!$A$1:$M$46</definedName>
    <definedName name="_xlnm.Print_Area" localSheetId="16">G综合楼!$A$1:$M$136</definedName>
    <definedName name="_xlnm.Print_Area" localSheetId="15">H图文信息中心!$A$1:$M$98</definedName>
    <definedName name="_xlnm.Print_Area" localSheetId="14">'H行政1#-H行政2#'!$A$1:$M$67</definedName>
    <definedName name="_xlnm.Print_Area" localSheetId="13">'A教1#2#'!$A$1:$M$40</definedName>
    <definedName name="_xlnm.Print_Area" localSheetId="12">'F教1#~F教4#、E教1#~E教6#'!$A$1:$M$40</definedName>
    <definedName name="_xlnm.Print_Area" localSheetId="11">'F宿1#2#（套）'!$A$1:$M$57</definedName>
  </definedNames>
  <calcPr calcId="144525"/>
</workbook>
</file>

<file path=xl/comments1.xml><?xml version="1.0" encoding="utf-8"?>
<comments xmlns="http://schemas.openxmlformats.org/spreadsheetml/2006/main">
  <authors>
    <author>Administrator</author>
  </authors>
  <commentList>
    <comment ref="N25" authorId="0">
      <text>
        <r>
          <rPr>
            <b/>
            <sz val="9"/>
            <rFont val="宋体"/>
            <charset val="134"/>
          </rPr>
          <t>Administrator:</t>
        </r>
        <r>
          <rPr>
            <sz val="9"/>
            <rFont val="宋体"/>
            <charset val="134"/>
          </rPr>
          <t xml:space="preserve">
扣除墙面的面积</t>
        </r>
      </text>
    </comment>
  </commentList>
</comments>
</file>

<file path=xl/comments2.xml><?xml version="1.0" encoding="utf-8"?>
<comments xmlns="http://schemas.openxmlformats.org/spreadsheetml/2006/main">
  <authors>
    <author>Administrator</author>
  </authors>
  <commentList>
    <comment ref="N25" authorId="0">
      <text>
        <r>
          <rPr>
            <b/>
            <sz val="9"/>
            <rFont val="宋体"/>
            <charset val="134"/>
          </rPr>
          <t>Administrator:</t>
        </r>
        <r>
          <rPr>
            <sz val="9"/>
            <rFont val="宋体"/>
            <charset val="134"/>
          </rPr>
          <t xml:space="preserve">
扣除墙面的面积</t>
        </r>
      </text>
    </comment>
  </commentList>
</comments>
</file>

<file path=xl/comments3.xml><?xml version="1.0" encoding="utf-8"?>
<comments xmlns="http://schemas.openxmlformats.org/spreadsheetml/2006/main">
  <authors>
    <author>86138</author>
  </authors>
  <commentList>
    <comment ref="F15" authorId="0">
      <text>
        <r>
          <rPr>
            <sz val="14"/>
            <rFont val="宋体"/>
            <charset val="134"/>
          </rPr>
          <t>含窗帘盒内侧</t>
        </r>
      </text>
    </comment>
  </commentList>
</comments>
</file>

<file path=xl/comments4.xml><?xml version="1.0" encoding="utf-8"?>
<comments xmlns="http://schemas.openxmlformats.org/spreadsheetml/2006/main">
  <authors>
    <author>86138</author>
  </authors>
  <commentList>
    <comment ref="F12" authorId="0">
      <text>
        <r>
          <rPr>
            <sz val="12"/>
            <rFont val="宋体"/>
            <charset val="134"/>
          </rPr>
          <t>石材、瓷砖、地板、运动地板地面</t>
        </r>
      </text>
    </comment>
    <comment ref="F13" authorId="0">
      <text>
        <r>
          <rPr>
            <sz val="12"/>
            <rFont val="宋体"/>
            <charset val="134"/>
          </rPr>
          <t>运动地板、地胶地面</t>
        </r>
      </text>
    </comment>
    <comment ref="F21" authorId="0">
      <text>
        <r>
          <rPr>
            <sz val="14"/>
            <rFont val="宋体"/>
            <charset val="134"/>
          </rPr>
          <t>含窗帘盒内侧</t>
        </r>
      </text>
    </comment>
    <comment ref="F26" authorId="0">
      <text>
        <r>
          <rPr>
            <sz val="9"/>
            <rFont val="宋体"/>
            <charset val="134"/>
          </rPr>
          <t>含阶梯教室超高部分</t>
        </r>
      </text>
    </comment>
    <comment ref="F27" authorId="0">
      <text>
        <r>
          <rPr>
            <sz val="12"/>
            <rFont val="宋体"/>
            <charset val="134"/>
          </rPr>
          <t>门厅上空、合成厅上空</t>
        </r>
      </text>
    </comment>
  </commentList>
</comments>
</file>

<file path=xl/comments5.xml><?xml version="1.0" encoding="utf-8"?>
<comments xmlns="http://schemas.openxmlformats.org/spreadsheetml/2006/main">
  <authors>
    <author>TZY</author>
  </authors>
  <commentList>
    <comment ref="F6" authorId="0">
      <text>
        <r>
          <rPr>
            <sz val="9"/>
            <rFont val="宋体"/>
            <charset val="134"/>
          </rPr>
          <t xml:space="preserve">软件提量
</t>
        </r>
      </text>
    </comment>
    <comment ref="F7" authorId="0">
      <text>
        <r>
          <rPr>
            <sz val="9"/>
            <rFont val="宋体"/>
            <charset val="134"/>
          </rPr>
          <t>软件提量</t>
        </r>
      </text>
    </comment>
    <comment ref="F8" authorId="0">
      <text>
        <r>
          <rPr>
            <sz val="9"/>
            <rFont val="宋体"/>
            <charset val="134"/>
          </rPr>
          <t xml:space="preserve">软件提量
</t>
        </r>
      </text>
    </comment>
    <comment ref="F9" authorId="0">
      <text>
        <r>
          <rPr>
            <sz val="9"/>
            <rFont val="宋体"/>
            <charset val="134"/>
          </rPr>
          <t>软件提量</t>
        </r>
      </text>
    </comment>
    <comment ref="F10" authorId="0">
      <text>
        <r>
          <rPr>
            <sz val="9"/>
            <rFont val="宋体"/>
            <charset val="134"/>
          </rPr>
          <t xml:space="preserve">软件提量
</t>
        </r>
      </text>
    </comment>
    <comment ref="F11" authorId="0">
      <text>
        <r>
          <rPr>
            <sz val="9"/>
            <rFont val="宋体"/>
            <charset val="134"/>
          </rPr>
          <t xml:space="preserve">软件提量
</t>
        </r>
      </text>
    </comment>
    <comment ref="F12" authorId="0">
      <text>
        <r>
          <rPr>
            <sz val="9"/>
            <rFont val="宋体"/>
            <charset val="134"/>
          </rPr>
          <t xml:space="preserve">软件提量
</t>
        </r>
      </text>
    </comment>
    <comment ref="F14" authorId="0">
      <text>
        <r>
          <rPr>
            <sz val="9"/>
            <rFont val="宋体"/>
            <charset val="134"/>
          </rPr>
          <t>软件提量</t>
        </r>
      </text>
    </comment>
    <comment ref="F27" authorId="0">
      <text>
        <r>
          <rPr>
            <sz val="9"/>
            <rFont val="宋体"/>
            <charset val="134"/>
          </rPr>
          <t>泳池内墙小凹口</t>
        </r>
      </text>
    </comment>
  </commentList>
</comments>
</file>

<file path=xl/sharedStrings.xml><?xml version="1.0" encoding="utf-8"?>
<sst xmlns="http://schemas.openxmlformats.org/spreadsheetml/2006/main" count="4217" uniqueCount="837">
  <si>
    <t>招标工程量清单编制说明</t>
  </si>
  <si>
    <t>一、编制要求：</t>
  </si>
  <si>
    <r>
      <rPr>
        <sz val="9"/>
        <color rgb="FF000000"/>
        <rFont val="宋体"/>
        <charset val="134"/>
      </rPr>
      <t>1、</t>
    </r>
    <r>
      <rPr>
        <b/>
        <sz val="9"/>
        <color rgb="FFFF0000"/>
        <rFont val="宋体"/>
        <charset val="134"/>
      </rPr>
      <t>清单编制图纸版本：221228 共青校区“三大件”（招标版，非施工版）、221231 共青校区图纸（招标版，非施工版）、游泳馆精装施工图230104、共青校区校医院（招标版，非施工版）230104、共青校区综合楼（招标版，非施工版）230105；</t>
    </r>
  </si>
  <si>
    <r>
      <rPr>
        <sz val="9"/>
        <color rgb="FF000000"/>
        <rFont val="宋体"/>
        <charset val="134"/>
      </rPr>
      <t>2.</t>
    </r>
    <r>
      <rPr>
        <b/>
        <sz val="9"/>
        <color rgb="FFFF0000"/>
        <rFont val="宋体"/>
        <charset val="134"/>
      </rPr>
      <t>本工程暂定工程量，固定综合单价合同</t>
    </r>
    <r>
      <rPr>
        <sz val="9"/>
        <color rgb="FF000000"/>
        <rFont val="宋体"/>
        <charset val="134"/>
      </rPr>
      <t>，综合固定单价包含人工费、材料费（按报价清单，主材甲供，乙方含辅材及耗材）、机械费、管理费、措施费、利润、税金、脚手架、成品保护等全部包干单价。</t>
    </r>
  </si>
  <si>
    <t>3.清单子目中，除另有规定外，均包括相应的面层铺贴、挂贴、干挂；刷防护材料、材料运输、固定支架安装、活动面层安装、龙骨铺设、勾缝、磨光、酸洗、打蜡、刷油漆、贴嵌防滑条、固定配件安装、勾分格缝；龙骨、骨架制作、运输、安装、油漆、嵌缝；钉隔离层、基层铺钉、五金、玻璃安装、烫蜡、面层铺贴、装订压条、边框制安。未注明的工作内容、其它材料含在相关项目内。</t>
  </si>
  <si>
    <r>
      <rPr>
        <sz val="9"/>
        <rFont val="宋体"/>
        <charset val="134"/>
      </rPr>
      <t>4.</t>
    </r>
    <r>
      <rPr>
        <b/>
        <sz val="9"/>
        <color rgb="FFFF0000"/>
        <rFont val="宋体"/>
        <charset val="134"/>
      </rPr>
      <t>除单独列项的措施费用外，其他措施费用均包含在综合固定单价内</t>
    </r>
    <r>
      <rPr>
        <sz val="9"/>
        <rFont val="宋体"/>
        <charset val="134"/>
      </rPr>
      <t>。</t>
    </r>
  </si>
  <si>
    <t>5.此价格体系中已按质量标准、工期等要求充分考虑人、材、机、管理、利润、税金及附加的其它费用等因素。</t>
  </si>
  <si>
    <t>6.在签订本合同前已清楚并考虑工地周围环境、交通道路、现场地质资料、周围地下管网、现场条件、招标文件、承包范围、质量标准、工期、施工图纸、施工组织设计，并已考虑检验检测、施工技术措施、安全文明施工措施、保修期内因施工或产品质量问题引起的维修和更换等因素。</t>
  </si>
  <si>
    <t>7.施工单位结合现场实际情况及施工图纸，应详细充分、确保准确无疑地与项目部工程师及设计人员沟通，确保所供的构件数量、尺寸及型号与现场工程需要的尺寸及型号准确无误，对于因沟通不够引起的误工和返工， 由施工方承担经济损失。</t>
  </si>
  <si>
    <r>
      <rPr>
        <b/>
        <sz val="12"/>
        <color indexed="8"/>
        <rFont val="宋体"/>
        <charset val="134"/>
      </rPr>
      <t>二、</t>
    </r>
    <r>
      <rPr>
        <b/>
        <sz val="12"/>
        <rFont val="宋体"/>
        <charset val="134"/>
      </rPr>
      <t>工程计价规则：</t>
    </r>
  </si>
  <si>
    <t>1.本价格体系总价已经包含辅材耗材、机械、人工、安装、施工、运输、搬运、检测、措施费、利润、管理、税费及材料损耗、成品保护、二次转运、风险等一切相关费用。包括全部材料（含甲供材）搬运至现场的费用(综合考虑场内运输)和垃圾清运费、成品保护费、安全文明施工费、清洁费、其他措施费及税金。</t>
  </si>
  <si>
    <t>2.石材必须做防水、防碱处理；石材主材价格（见材料单价表中主材价格一栏）为石材成品规格板含表面处理（如光面、荔枝面等）、六面防护、大理石背网运至工地价格；其他二次加工费（如倒角、磨边、石材暗门、开孔、加厚边、加筋、墙地面结晶、水刀拼花、伸缩缝等）均含在辅材或人工费内。</t>
  </si>
  <si>
    <t>3.不锈钢制品不因表面更换颜色及纹理和处理方式变化对价格作出调整，且均须作抗指纹处理。</t>
  </si>
  <si>
    <r>
      <rPr>
        <sz val="9"/>
        <color rgb="FF000000"/>
        <rFont val="宋体"/>
        <charset val="134"/>
      </rPr>
      <t>4.本工程天棚吊顶综合单价包含但不限于吊杆长度大于1.5米时，应设置反支撑及完成造型所需的木夹板、施工用脚手架（不分层高综合考虑）；当吊杆与设备相遇时，应调整并增设吊杆（或遇管道设备等需增加钢结构转换层）；如遇重型设备（如装饰灯、电扇等）部位需做加固处理等工作的费用，不再另行计取；</t>
    </r>
    <r>
      <rPr>
        <b/>
        <sz val="9"/>
        <color rgb="FFFF0000"/>
        <rFont val="宋体"/>
        <charset val="134"/>
      </rPr>
      <t>天花装修超高需搭设脚手架问题及顶层楼梯间超高部分增加费用已综合考虑，不予单独计取费用。</t>
    </r>
  </si>
  <si>
    <r>
      <rPr>
        <sz val="9"/>
        <color rgb="FF000000"/>
        <rFont val="宋体"/>
        <charset val="134"/>
      </rPr>
      <t>5.</t>
    </r>
    <r>
      <rPr>
        <b/>
        <sz val="9"/>
        <color rgb="FFFF0000"/>
        <rFont val="宋体"/>
        <charset val="134"/>
      </rPr>
      <t>投标单位报价不需考虑总包配合费</t>
    </r>
    <r>
      <rPr>
        <sz val="9"/>
        <rFont val="宋体"/>
        <charset val="134"/>
      </rPr>
      <t>。</t>
    </r>
  </si>
  <si>
    <t>6.甲方分包项目不属乙方施工范围，不计入合同总价，但乙方应服从项目部管理，配合交叉作业；</t>
  </si>
  <si>
    <r>
      <rPr>
        <sz val="9"/>
        <rFont val="宋体"/>
        <charset val="134"/>
      </rPr>
      <t>7.以下费用都含在综合单价内，不再另计：
　①</t>
    </r>
    <r>
      <rPr>
        <b/>
        <sz val="9"/>
        <color rgb="FFFF0000"/>
        <rFont val="宋体"/>
        <charset val="134"/>
      </rPr>
      <t>施工期内人工、辅材耗材和机械的价格波动风险，所有人工材料价格结算时均不予调差</t>
    </r>
    <r>
      <rPr>
        <sz val="9"/>
        <rFont val="宋体"/>
        <charset val="134"/>
      </rPr>
      <t>；
  ②停电、停水、多次转运、施工场地不足等所需措施的一切费用和工期，并已考虑了各种可能因素影响施工所增加的费用；
  ③本工程所有建筑垃圾，施工单位必须自行清理、装运至小区外，过程中发生的费用；
　④本工程不得在现场加工制作，如施工单位确需在现场加工，其质量保证措施须经招标单位书面同意。材料的进场和堆放应按进度计划进行。</t>
    </r>
  </si>
  <si>
    <t>8.关于清单中各项目工作内容的描述，如有描述不清、错误、漏项或与图纸相矛盾的地方，优先级以图纸为准。</t>
  </si>
  <si>
    <t>10.其他未尽事宜详见合同及技术标准附件;本页不得删除,将作为合同清单的有效组成部分。</t>
  </si>
  <si>
    <t>11.价格组成：综合单价由辅材、人工、机械单价、综合费（含管理费及利润等其他各项费用）组成。
其中：</t>
  </si>
  <si>
    <r>
      <rPr>
        <sz val="9"/>
        <color rgb="FF000000"/>
        <rFont val="宋体"/>
        <charset val="134"/>
      </rPr>
      <t>　①主材单价</t>
    </r>
    <r>
      <rPr>
        <b/>
        <sz val="9"/>
        <color rgb="FFFF0000"/>
        <rFont val="宋体"/>
        <charset val="134"/>
      </rPr>
      <t>（甲供）</t>
    </r>
    <r>
      <rPr>
        <sz val="9"/>
        <color rgb="FF000000"/>
        <rFont val="宋体"/>
        <charset val="134"/>
      </rPr>
      <t>：指材料自来源地运至工地现场并堆放在指定地点的价格，含材料原价</t>
    </r>
    <r>
      <rPr>
        <b/>
        <sz val="9"/>
        <rFont val="宋体"/>
        <charset val="134"/>
      </rPr>
      <t>、</t>
    </r>
    <r>
      <rPr>
        <sz val="9"/>
        <color rgb="FF000000"/>
        <rFont val="宋体"/>
        <charset val="134"/>
      </rPr>
      <t>运杂费、运输损耗及采保费；</t>
    </r>
  </si>
  <si>
    <r>
      <rPr>
        <sz val="9"/>
        <color rgb="FF000000"/>
        <rFont val="宋体"/>
        <charset val="134"/>
      </rPr>
      <t>　②主材损耗</t>
    </r>
    <r>
      <rPr>
        <b/>
        <sz val="9"/>
        <color rgb="FFFF0000"/>
        <rFont val="宋体"/>
        <charset val="134"/>
      </rPr>
      <t>（甲供）</t>
    </r>
    <r>
      <rPr>
        <sz val="9"/>
        <color rgb="FF000000"/>
        <rFont val="宋体"/>
        <charset val="134"/>
      </rPr>
      <t>：详见综合单价分析表，综合单价内的损耗为施工损耗；甲供瓷砖因铺贴排版方式产生的损耗按设计确认的排版图另行计算；</t>
    </r>
  </si>
  <si>
    <t>　③辅材单价：按图纸完成工程所需的除主材外的所有材料价格，含辅材单价、合理损耗等；</t>
  </si>
  <si>
    <r>
      <rPr>
        <sz val="9"/>
        <color rgb="FF000000"/>
        <rFont val="宋体"/>
        <charset val="134"/>
      </rPr>
      <t>　④人工机械单价：按图纸完成工程所需消耗的所有人工机械费用，含制作加工、运输、</t>
    </r>
    <r>
      <rPr>
        <sz val="9"/>
        <rFont val="宋体"/>
        <charset val="134"/>
      </rPr>
      <t>材料采购保管</t>
    </r>
    <r>
      <rPr>
        <sz val="9"/>
        <color rgb="FF000000"/>
        <rFont val="宋体"/>
        <charset val="134"/>
      </rPr>
      <t>、安装及调试等费用；</t>
    </r>
  </si>
  <si>
    <r>
      <rPr>
        <sz val="9"/>
        <color rgb="FF000000"/>
        <rFont val="宋体"/>
        <charset val="134"/>
      </rPr>
      <t xml:space="preserve">  ⑤  </t>
    </r>
    <r>
      <rPr>
        <b/>
        <sz val="9"/>
        <color rgb="FFFF0000"/>
        <rFont val="宋体"/>
        <charset val="134"/>
      </rPr>
      <t>为防止材料浪费所有甲供材施工损耗控制在3%以内，若乙方超领用额度超过定额损耗量，超过将对施工方进行罚款处理；</t>
    </r>
  </si>
  <si>
    <t>12.工程量计算规则：工程量根据设计图纸计算，所有工程量均为可视面净量，须特别说明的计算规则如下：</t>
  </si>
  <si>
    <t>1）乳胶漆面积按可视展开面计算；</t>
  </si>
  <si>
    <r>
      <rPr>
        <sz val="9"/>
        <rFont val="宋体"/>
        <charset val="134"/>
      </rPr>
      <t>2）天棚轻钢龙骨，铝合金龙骨按面层不同的标高分一级和跌级天棚，天棚面层在同一标高者称一级天棚，不在同一标高且高差在20cm以上者（不含20cm)称为跌级。
2.1如下图是原顶往下吊则不能算跌级。</t>
    </r>
    <r>
      <rPr>
        <b/>
        <sz val="9"/>
        <color rgb="FFFF0000"/>
        <rFont val="宋体"/>
        <charset val="134"/>
      </rPr>
      <t xml:space="preserve">
</t>
    </r>
  </si>
  <si>
    <t>13.精装总包项目配合费在措施项目清单已单列，投标单位根据地面面积自行填报，后期不得向甲分包、甲供材单位收取配合费。</t>
  </si>
  <si>
    <t>三、其它说明：</t>
  </si>
  <si>
    <t>1.正常石材、瓷砖现场进行切割铺贴，另异形、弧形、倒边、拉槽、三角板及开孔等现场无法切割的，由甲方负责加工厂加工及费用；</t>
  </si>
  <si>
    <t>2.工程量清单中工程量为1的均为备选清单项，投标单位均需综合考虑报价；</t>
  </si>
  <si>
    <t>3.施工水电费由甲方承担，投标单位无需考虑相关费用；</t>
  </si>
  <si>
    <t>4.投标单位自行复核清单项，如有图纸对应清单缺项漏项，投标单位可回标答疑提出；按清单进行报价，清单内项目特征及备注说明了甲供材料，其他未明确的辅材、耗材、措施费用、人工、机械、工具及各施工工序等均由乙方负责；</t>
  </si>
  <si>
    <t>5.表格中的数字均有公式链接关系，投标人须自行检查核对，并对最后的数据结果负责。</t>
  </si>
  <si>
    <t>工学院共青校区一期精装修工程标段划分汇总表</t>
  </si>
  <si>
    <t>标段名称</t>
  </si>
  <si>
    <t>学校</t>
  </si>
  <si>
    <t>楼栋数</t>
  </si>
  <si>
    <t>楼  栋</t>
  </si>
  <si>
    <t>建筑面积（㎡）</t>
  </si>
  <si>
    <t>含税金额
（元）</t>
  </si>
  <si>
    <t>含税单方造价
(元/m2）</t>
  </si>
  <si>
    <t>备注</t>
  </si>
  <si>
    <t>一标</t>
  </si>
  <si>
    <t>工学院</t>
  </si>
  <si>
    <t>F医1#-F医2#</t>
  </si>
  <si>
    <t>F食堂1#</t>
  </si>
  <si>
    <t>F食堂2#</t>
  </si>
  <si>
    <t>F后勤服务中心</t>
  </si>
  <si>
    <t>F宿1#-F宿2#</t>
  </si>
  <si>
    <t>F宿3#-F宿4#</t>
  </si>
  <si>
    <t>F宿5#-F宿6#</t>
  </si>
  <si>
    <t>F宿7#-F宿8#</t>
  </si>
  <si>
    <t>F宿9#-F宿10#</t>
  </si>
  <si>
    <t>F宿11#-F宿12#</t>
  </si>
  <si>
    <t>F宿13#-F宿14#</t>
  </si>
  <si>
    <t>F教3#-F教4#</t>
  </si>
  <si>
    <t>F教1#-F教2#</t>
  </si>
  <si>
    <t>F训3#</t>
  </si>
  <si>
    <t>F训4#</t>
  </si>
  <si>
    <t>F训1#</t>
  </si>
  <si>
    <t>F训2#</t>
  </si>
  <si>
    <t>小计</t>
  </si>
  <si>
    <t>二标</t>
  </si>
  <si>
    <t>应用师范</t>
  </si>
  <si>
    <t>A创7#</t>
  </si>
  <si>
    <t>不在本次招标范围</t>
  </si>
  <si>
    <t>A训1#</t>
  </si>
  <si>
    <t>A训2#</t>
  </si>
  <si>
    <t>A训3#</t>
  </si>
  <si>
    <t>A训4#</t>
  </si>
  <si>
    <t>A教1#-A教2#</t>
  </si>
  <si>
    <t>三标</t>
  </si>
  <si>
    <t>A教3#-A教4#</t>
  </si>
  <si>
    <t>A训5#</t>
  </si>
  <si>
    <t>A训6#</t>
  </si>
  <si>
    <t>H艺院1#-H艺院2#</t>
  </si>
  <si>
    <t>H训1#</t>
  </si>
  <si>
    <t>H训2#</t>
  </si>
  <si>
    <t>H训3#</t>
  </si>
  <si>
    <t>H训4#</t>
  </si>
  <si>
    <t>H行政1#-H行政2#</t>
  </si>
  <si>
    <t>H图文信息中心</t>
  </si>
  <si>
    <t>四标</t>
  </si>
  <si>
    <t>E教1#-E教2#</t>
  </si>
  <si>
    <t>E教5#-E教6#</t>
  </si>
  <si>
    <t>E训1#</t>
  </si>
  <si>
    <t>E训2#</t>
  </si>
  <si>
    <t>E训3#</t>
  </si>
  <si>
    <t>E训4#</t>
  </si>
  <si>
    <t>E教3#-E教4#</t>
  </si>
  <si>
    <t>G室内游泳馆</t>
  </si>
  <si>
    <t>H会堂</t>
  </si>
  <si>
    <t>G综合教学楼</t>
  </si>
  <si>
    <t>合计</t>
  </si>
  <si>
    <t>工学院共青校区一期精装修工程汇总表</t>
  </si>
  <si>
    <t>序号</t>
  </si>
  <si>
    <t>分部分项工程</t>
  </si>
  <si>
    <t>面积基准</t>
  </si>
  <si>
    <t>面积
（m2）</t>
  </si>
  <si>
    <t>含税小计
（元）</t>
  </si>
  <si>
    <t>建筑面积</t>
  </si>
  <si>
    <t>清单F训1#2#一致</t>
  </si>
  <si>
    <t>清单E训1#（A训2#、A训1#、E训2#）一致</t>
  </si>
  <si>
    <t>清单A训5#、A训4#（A训3#，H训1#，H训2#）一致</t>
  </si>
  <si>
    <t>清单H训3#（H训4#，A训6#）、E训4#（E训3#，F训3#，F训4#）一致</t>
  </si>
  <si>
    <t>F宿9#10#</t>
  </si>
  <si>
    <t>清单F宿9#10#（F宿3#4#、F宿5#6#、F宿7#8#、F宿11#12#、F宿13#14#）一致</t>
  </si>
  <si>
    <t>F宿3#4#</t>
  </si>
  <si>
    <t>F宿5#6#</t>
  </si>
  <si>
    <t>F宿7#8#</t>
  </si>
  <si>
    <t>F宿11#12#</t>
  </si>
  <si>
    <t>F宿13#14#</t>
  </si>
  <si>
    <t>F宿1#2#</t>
  </si>
  <si>
    <t>A教1#2#</t>
  </si>
  <si>
    <t>A教3#4#</t>
  </si>
  <si>
    <t>A教3#4#参照E教3#-E教4#</t>
  </si>
  <si>
    <t>清单F教1#-F教2#(F教3#-F教4#、E教1#-E教2#、E教3#-E教4#、E教5#-E教6#)一致</t>
  </si>
  <si>
    <t>G综合楼</t>
  </si>
  <si>
    <t>F校医院</t>
  </si>
  <si>
    <t>H艺院1#2#</t>
  </si>
  <si>
    <t>含税合计（元）</t>
  </si>
  <si>
    <t>装修工程其它工作项目计价表</t>
  </si>
  <si>
    <t>项目</t>
  </si>
  <si>
    <t>单位</t>
  </si>
  <si>
    <t>综合单价(元)</t>
  </si>
  <si>
    <t>签证人工</t>
  </si>
  <si>
    <t>工日</t>
  </si>
  <si>
    <t>综合单价（普工）,具体根据工程签订工日</t>
  </si>
  <si>
    <t>综合单价（技工）,具体根据工程签订工日</t>
  </si>
  <si>
    <t>剔凿砂浆(不分厚度)</t>
  </si>
  <si>
    <t>平方米</t>
  </si>
  <si>
    <t>含渣清理至甲方指定现场位置。</t>
  </si>
  <si>
    <t>剔凿素砼(不分标号)</t>
  </si>
  <si>
    <t>立方米</t>
  </si>
  <si>
    <t>剔凿钢筋砼(不分标号)</t>
  </si>
  <si>
    <t>底盒移位（天花）</t>
  </si>
  <si>
    <t>个</t>
  </si>
  <si>
    <t>含原底盒部位封堵。</t>
  </si>
  <si>
    <t>底盒移位（混凝土墙/砖墙）</t>
  </si>
  <si>
    <t>15/10</t>
  </si>
  <si>
    <t>包管及其他零星砌筑</t>
  </si>
  <si>
    <t>零星拆除、打凿砌体</t>
  </si>
  <si>
    <t>含垃圾清理至甲方指定现场位置。</t>
  </si>
  <si>
    <t>零星抹灰</t>
  </si>
  <si>
    <t>含施工用脚手架、不分厚度及砂浆配合比、渣土清理至甲方指定现场位置。</t>
  </si>
  <si>
    <t>零星粉刷砂浆/保温砂浆</t>
  </si>
  <si>
    <t>铲、凿、拆除墙地砖（含粉刷层及找平层）</t>
  </si>
  <si>
    <t>铲、凿、拆除拆除石材（含粉刷层及找平层）</t>
  </si>
  <si>
    <t>拆装踢脚线</t>
  </si>
  <si>
    <t>米</t>
  </si>
  <si>
    <t>不分高度、材质</t>
  </si>
  <si>
    <t>轻钢龙骨石膏板隔墙</t>
  </si>
  <si>
    <t>12厚单层单面石膏板，含垃圾清运</t>
  </si>
  <si>
    <t>轻钢龙骨木工板隔墙</t>
  </si>
  <si>
    <t>12厚单层两面石膏板，含垃圾清运</t>
  </si>
  <si>
    <t>细木工板封隔墙（含窗台）</t>
  </si>
  <si>
    <t>含拆除及垃圾清运</t>
  </si>
  <si>
    <t>混凝土梁、板打洞（含补洞）</t>
  </si>
  <si>
    <t>直径≥300毫米(含人工、材料、砼渣土清理）</t>
  </si>
  <si>
    <t>直径﹤300毫米(含人工、材料、砼渣土清理）</t>
  </si>
  <si>
    <t>楼板补洞（含防水处理，吊模支护不分材料）</t>
  </si>
  <si>
    <t>砖墙开洞（含补洞）</t>
  </si>
  <si>
    <t>直径≥300毫米(含人工、材料、砖渣土清理）</t>
  </si>
  <si>
    <t>直径﹤300毫米(含人工、材料、砖渣土清理）</t>
  </si>
  <si>
    <t>砖墙开线槽（含补槽）</t>
  </si>
  <si>
    <t>水电预埋线管(含人工、材料、砖渣土清理）</t>
  </si>
  <si>
    <t>砼开线槽（含补槽）</t>
  </si>
  <si>
    <t>水电预埋线管(含人工、材料、砼渣土清理）</t>
  </si>
  <si>
    <t>墙根、管根水泥砂浆抹圆角</t>
  </si>
  <si>
    <t>包工包料，含渣清理至甲方指定现场位置。</t>
  </si>
  <si>
    <t>台面开孔</t>
  </si>
  <si>
    <t>成品保护；</t>
  </si>
  <si>
    <t>美缝</t>
  </si>
  <si>
    <t>m</t>
  </si>
  <si>
    <t>含废弃材料清理至甲方指定现场位置。</t>
  </si>
  <si>
    <t>陶粒回填</t>
  </si>
  <si>
    <t>m3</t>
  </si>
  <si>
    <t>1、《其他工作项目清单》是列出施工过程中可能出现的其他工作项目清单， 以上单价均为含税综合单价，单价为完成相应项目的全部费用（含税)，结算时不再计取其他任何费用。清单中工程量为暂定工程量，结算按实际完成工程量计算。</t>
  </si>
  <si>
    <r>
      <rPr>
        <sz val="10"/>
        <rFont val="宋体"/>
        <charset val="134"/>
      </rPr>
      <t>2、设计变更及签证取费标准：出现《工程量清单》中的相同项目或《其它工作项目计价表》内计价项目时，按清单中的综合单价或《其它工作项目计价表》相应综合单价执行；否则按相应的 江西省</t>
    </r>
    <r>
      <rPr>
        <sz val="10"/>
        <color rgb="FFFF0000"/>
        <rFont val="宋体"/>
        <charset val="134"/>
      </rPr>
      <t>2017定额</t>
    </r>
    <r>
      <rPr>
        <sz val="10"/>
        <rFont val="宋体"/>
        <charset val="134"/>
      </rPr>
      <t>土建、安装、装饰、维修定额的三类工程取费不下浮，材料价格采用《南昌市建设工程造价信息》签证变更实施当月信息价或按甲方确认价格。</t>
    </r>
  </si>
  <si>
    <t>F食堂2#（F食堂1#）</t>
  </si>
  <si>
    <t>项目名称</t>
  </si>
  <si>
    <t>项目特征</t>
  </si>
  <si>
    <t>计算规则</t>
  </si>
  <si>
    <t>工程量</t>
  </si>
  <si>
    <t>综合单价组成（元）</t>
  </si>
  <si>
    <t>含税综合单价（元）</t>
  </si>
  <si>
    <t>含税合计
（元）</t>
  </si>
  <si>
    <t>人工费</t>
  </si>
  <si>
    <t>辅材及机械费</t>
  </si>
  <si>
    <t>管理费及利润</t>
  </si>
  <si>
    <t>税金</t>
  </si>
  <si>
    <t>一</t>
  </si>
  <si>
    <t>1~3层地面</t>
  </si>
  <si>
    <t>地砖</t>
  </si>
  <si>
    <t>1、防滑地砖（CT-01\02\03\04),填缝剂擦缝。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</si>
  <si>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按图示尺寸以面积计量</t>
  </si>
  <si>
    <t>m2</t>
  </si>
  <si>
    <t>主材甲供（包含墙地砖、瓷砖胶、水泥、砂），其他所有辅材乙供</t>
  </si>
  <si>
    <t>1、防滑地砖600*600（管井、设备房）,填缝剂擦缝。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</si>
  <si>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芝麻白花岗岩(楼梯间）</t>
  </si>
  <si>
    <t>楼梯间地面芝麻白花岗岩
1、地砖,填缝剂擦缝。
2.基层清理、扫素水泥浆、基层砂浆铺贴、花岗岩背面胶泥或素水泥浆、瓷砖铺贴、勾缝以及为完成该项工作的一切工序【综合考虑瓷砖规格、铺贴砂浆厚度及配合比】
3.其他：满足设计图纸要求及相关规范、技术要求</t>
  </si>
  <si>
    <t>主材甲供（包含墙地砖、溢胶泥、水泥、砂），其他所有辅材乙供</t>
  </si>
  <si>
    <t>挡水坎石材铺贴</t>
  </si>
  <si>
    <t>1.挡水石
2.基层清理、扫素水泥浆、基层砂浆铺贴、石材加强布去除、背面石材粘结剂、石材铺贴、勾缝以及为完成该项工作的一切工序【湿贴】
3.其他：满足设计图纸要求及相关规范、技术要求</t>
  </si>
  <si>
    <t>按图示尺寸以延长米计量</t>
  </si>
  <si>
    <t>主材甲供（包含石材、粘结剂、水泥、砂），其他所有辅材乙供</t>
  </si>
  <si>
    <t>水泥砂浆找平</t>
  </si>
  <si>
    <t>木地板 水泥砂浆找平，水泥砂浆找平20mm</t>
  </si>
  <si>
    <t>水平投影面积</t>
  </si>
  <si>
    <t>㎡</t>
  </si>
  <si>
    <t>主材甲供(包含水泥、砂）</t>
  </si>
  <si>
    <t>水泥砂浆找平(厚度增减价)</t>
  </si>
  <si>
    <t>水泥砂浆找平层 厚度每增减5mm</t>
  </si>
  <si>
    <t>按实铺面积计算</t>
  </si>
  <si>
    <t>卫生间-地面石材</t>
  </si>
  <si>
    <t>1.地面石材人造石
2.基层清理、扫素水泥浆、基层砂浆铺贴、石材加强布去除、背面石材粘结剂、石材铺贴、勾缝以及为完成该项工作的一切工序【湿贴】
3.其他：满足设计图纸要求及相关规范、技术要求</t>
  </si>
  <si>
    <t>主材甲供（包含石材、石材粘结剂、水泥、砂），其他所有辅材乙供</t>
  </si>
  <si>
    <t>门槛石</t>
  </si>
  <si>
    <t>1.门槛黑白根大理石石材
2.基层清理、扫素水泥浆、基层砂浆铺贴、石材加强布去除、背面石材粘结剂、石材铺贴、勾缝以及为完成该项工作的一切工序【湿贴】
3.其他：满足设计图纸要求及相关规范、技术要求</t>
  </si>
  <si>
    <t>沉箱陶粒回填</t>
  </si>
  <si>
    <t>1、沉箱陶粒回填厚度400mm以内
2、其他：满足设计图纸要求及相关规范、技术要求</t>
  </si>
  <si>
    <t>按体积计算计算</t>
  </si>
  <si>
    <t>主材甲供(包含陶粒）</t>
  </si>
  <si>
    <t>二</t>
  </si>
  <si>
    <t>1~3层层天棚</t>
  </si>
  <si>
    <t>轻钢龙骨石膏板吊顶天棚</t>
  </si>
  <si>
    <t>1、不上人轻钢天棚龙骨 主龙骨间距1000以内，次龙骨间距400以内;
2、双层9.5mm石膏板（包含阴阳护角条）；
3、其他：满足设计图纸要求及相关规范、技术要求</t>
  </si>
  <si>
    <t>按水平投影面积</t>
  </si>
  <si>
    <t>主材甲供（包含石膏板、轻钢龙骨整套），其他所有辅材乙供</t>
  </si>
  <si>
    <t>天棚白色无机涂料</t>
  </si>
  <si>
    <t>(1)石膏板面基层处理、贴绷带及点防锈漆；
(2)满刮2厚面层耐水腻子三遍(一底、二面漆),孔眼用腻子填平。白色无机涂料，油白色乳胶漆三度。
3、其他：满足设计图纸要求及相关规范、技术要求</t>
  </si>
  <si>
    <t>按展开面积计算</t>
  </si>
  <si>
    <t>主材甲供（包含耐水腻子、水泥、无机涂料）</t>
  </si>
  <si>
    <t>轻钢龙骨防水石膏板吊顶天棚</t>
  </si>
  <si>
    <t>1、不上人轻钢天棚龙骨 主龙骨间距1000以内，次龙骨间距400以内;
2、双层9.5mm防水石膏板（包含阴阳护角条）；
3、其他：满足设计图纸要求及相关规范、技术要求</t>
  </si>
  <si>
    <t>天棚白色无机防水涂料</t>
  </si>
  <si>
    <t>(1)石膏板面基层处理、贴绷带及点防锈漆；
(2)满刮2厚面层耐水腻子三遍(一底、二面漆),孔眼用腻子填平，满刷防潮涂料两道,横纵向各刷一道(仅卫生间、淋浴间有此层)
3、其他：满足设计图纸要求及相关规范、技术要求</t>
  </si>
  <si>
    <t>原顶白色无机涂料</t>
  </si>
  <si>
    <t>(1)混凝土结构基层剔除模板屑、凿除模板缝漏浆等，涂刷界面剂；对于无吊顶有涂料区域，以原现浇板移交精装单位，需刷素水泥浆一道甩毛；
2)涂料饰面三遍(一底、二面漆)(燃烧性能等级A级)
3)2厚耐水腻子分遍找平1遍
4)3厚底基防裂腻子分遍找平2遍
5、其他：满足设计图纸要求及相关规范、技术要求</t>
  </si>
  <si>
    <t>铝方通</t>
  </si>
  <si>
    <t>1、铝方通
2、清理基层、轻钢龙骨基层，铝方通吊顶，打胶以及为完成该项工作的一切工序
3、其他：满足设计图纸要求及相关规范、技术要求</t>
  </si>
  <si>
    <t>主材甲供（包含白色铝方通、轻钢龙骨整套），其他所有辅材乙供</t>
  </si>
  <si>
    <t>轻钢龙骨科技金属板吊顶天棚</t>
  </si>
  <si>
    <t>1、不上人轻钢天棚龙骨 主龙骨间距1000以内，次龙骨间距400以内;
2、防火阻燃版+科技金属板；
3、其他：满足设计图纸要求及相关规范、技术要求</t>
  </si>
  <si>
    <t>主材甲供（包含阻燃板、轻钢龙骨整套、金属板），其他所有辅材乙供</t>
  </si>
  <si>
    <t>窗帘盒</t>
  </si>
  <si>
    <t>(1)细木工板基层，防火处理，面贴单层9.5mm石膏板（不含面层乳胶漆，计入天棚乳胶漆）；
2、其他：满足设计图纸要求及相关规范、技术要求</t>
  </si>
  <si>
    <t>延长米</t>
  </si>
  <si>
    <t>主材甲供（包含细木工板、石膏板），其他所有辅材乙供</t>
  </si>
  <si>
    <t>灯槽</t>
  </si>
  <si>
    <t>(1)细木工板基层，刷防火涂料二遍；面贴石膏板（不含面层乳胶漆，计入天棚乳胶漆）；
2、其他：满足设计图纸要求及相关规范、技术要求</t>
  </si>
  <si>
    <t>主材甲供（包含细木工板、石膏板、灯具），其他所有辅材乙供</t>
  </si>
  <si>
    <t>三</t>
  </si>
  <si>
    <t>1~3层墙面</t>
  </si>
  <si>
    <t>墙面刷白色无机涂料</t>
  </si>
  <si>
    <t>1、专用界面剂
2、刷内墙无机涂料三遍(一底、二面漆)。
3、2厚面层耐水腻子分遍刮平三遍。
4、其他：满足设计图纸要求及相关规范、技术要求</t>
  </si>
  <si>
    <t>主材甲供（包含耐水腻子、无机涂料）</t>
  </si>
  <si>
    <t>墙砖</t>
  </si>
  <si>
    <t>1、墙砖（CT5/6/8)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</si>
  <si>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主材甲供（包含墙地砖、瓷砖粘结剂、水泥、砂），其他所有辅材乙供</t>
  </si>
  <si>
    <t>消防栓暗门</t>
  </si>
  <si>
    <t>（1）消防暗门制作安装700*1800
（2）非消防栓需带锁，使用标准拉手，标准支撑，详见图纸或照片
3、骨架、双面夹板基层及防火处理满足规范要求，
4、其他：满足设计图纸要求及相关规范、技术要求</t>
  </si>
  <si>
    <t>按樘数计算</t>
  </si>
  <si>
    <t>樘</t>
  </si>
  <si>
    <t>主材甲供（包含骨架钢材、夹板材料），其他所有辅材乙供</t>
  </si>
  <si>
    <t>细木工板门套基层</t>
  </si>
  <si>
    <t>木龙骨细木工板基层及防火处理满足规范要求</t>
  </si>
  <si>
    <t>按可视垂直投影面积计算</t>
  </si>
  <si>
    <t>主材甲供（木龙骨、木工板），其他所有辅材乙供</t>
  </si>
  <si>
    <t>踢脚线-瓷砖踢脚线</t>
  </si>
  <si>
    <t>1、瓷砖踢脚线铺贴,20mm厚干硬性水泥砂浆（1:3)找平层，素水泥浆粘贴；
2、其他：满足设计图纸要求及相关规范、技术要求</t>
  </si>
  <si>
    <t>按延长米计算</t>
  </si>
  <si>
    <t>主材甲供(包含瓷砖、水泥、砂）</t>
  </si>
  <si>
    <t>干挂墙砖</t>
  </si>
  <si>
    <t>1、测量放线,角钢支架与混凝土墙预埋钢板焊牢(或膨胀螺栓固定) (具体详见施工图)
2、基层清理或修补，基层甩毛，瓷砖背面刷界面剂脱膜、满批瓷砖粘结剂、镶贴瓷砖、勾缝、擦缝清理及为完成该项工作的一切工序【综合考虑瓷砖规格，铜丝点挂部位综合考虑在内，不另行计取】规格（CT5/6/8)
3、其他：满足设计图纸要求及相关规范、技术要求</t>
  </si>
  <si>
    <t>主材甲供（包含墙砖、槽钢、角钢），其他所有辅材乙供</t>
  </si>
  <si>
    <t>墙面金属板</t>
  </si>
  <si>
    <t>墙面科技金属板制安
1、清理、弹线、定位、钻孔
2、木龙骨防蛀、防潮、防火、防腐处理
3、木龙骨间300制安
4、木基层防蛀、防潮、防火、防腐处理
5、12厘阻燃板基层
6、科技金属板制安
7、完工清洁、保护
8、其他：满足设计图纸要求及相关规范、技术要求</t>
  </si>
  <si>
    <t>主材甲供（包含阻燃板、木方料、金属板），其他所有辅材乙供</t>
  </si>
  <si>
    <t>墙面木饰面</t>
  </si>
  <si>
    <t>墙面成品木饰面制安
1、清理、弹线、定位、钻孔
2、木龙骨防蛀、防潮、防火、防腐处理
3、木龙骨间300制安
4、木基层防蛀、防潮、防火、防腐处理
5、12厘阻燃板基层
6、成品木饰面制安
7、完工清洁、保护
8、其他：满足设计图纸要求及相关规范、技术要求</t>
  </si>
  <si>
    <t>主材甲供（包含阻燃板、木方料、木饰面），其他所有辅材乙供</t>
  </si>
  <si>
    <t>金属覆膜板</t>
  </si>
  <si>
    <t>1、清理、弹线、定位、钻孔
2、木龙骨防蛀、防潮、防火、防腐处理
3、12MM防火阻燃板基层
4、科技金属板
5、其他：满足设计图纸要求及相关规范、技术要求</t>
  </si>
  <si>
    <t>主材甲供（包含阻燃板、木龙骨材料、金属板），其他所有辅材乙供</t>
  </si>
  <si>
    <t>硬包</t>
  </si>
  <si>
    <t>1、清理、弹线、定位、钻孔
2、木龙骨防蛀、防潮、防火、防腐处理
3、12MM防火阻燃板基层
4、硬包
5、其他：满足设计图纸要求及相关规范、技术要求</t>
  </si>
  <si>
    <t>主材甲供（包含木方、阻燃板、硬包材料），其他所有辅材乙供</t>
  </si>
  <si>
    <t>成品检修口</t>
  </si>
  <si>
    <t>1、吊顶开检规格300*1200mm以内；
2、检修口安装</t>
  </si>
  <si>
    <t>按个数计算</t>
  </si>
  <si>
    <t>四</t>
  </si>
  <si>
    <t>措施费及其他费</t>
  </si>
  <si>
    <t>成品保护</t>
  </si>
  <si>
    <t>墙地面成品保护</t>
  </si>
  <si>
    <t>地面面积计算</t>
  </si>
  <si>
    <t>未完工前成品保护</t>
  </si>
  <si>
    <t>二次运输（根据现场情况选择）</t>
  </si>
  <si>
    <t>提供垂直运输（含配专业开电梯操作工）</t>
  </si>
  <si>
    <t>含水平及垂直运输费用</t>
  </si>
  <si>
    <t>垃圾清运</t>
  </si>
  <si>
    <t>含垃圾袋及工具</t>
  </si>
  <si>
    <t>1、防滑地砖(CT1/2/3),填缝剂擦缝。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</si>
  <si>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地砖(楼梯间）</t>
  </si>
  <si>
    <t>1.楼梯间地面砖(CT1)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</si>
  <si>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1.门槛石大理石石材
2.基层清理、扫素水泥浆、基层砂浆铺贴、石材加强布去除、背面石材粘结剂、石材铺贴、勾缝以及为完成该项工作的一切工序【湿贴】
3.其他：满足设计图纸要求及相关规范、技术要求</t>
  </si>
  <si>
    <t>金属饰面-10厘金属饰面</t>
  </si>
  <si>
    <t>1、10厘金属饰面
2、其他：满足设计图纸要求及相关规范、技术要求</t>
  </si>
  <si>
    <t>主材甲供（金属面层），其他所有辅材乙供</t>
  </si>
  <si>
    <t>铝扣板</t>
  </si>
  <si>
    <t>1、铝扣板
2、清理基层、轻钢龙骨基层，铝扣板吊顶、线条收边收口，打胶以及为完成该项工作的一切工序
3、其他：满足设计图纸要求及相关规范、技术要求</t>
  </si>
  <si>
    <t>轻钢龙骨高晶板吊顶天棚</t>
  </si>
  <si>
    <t>1、不上人轻钢天棚龙骨 主龙骨间距1000以内，次龙骨间距400以内;
2、高晶板；
3、其他：满足设计图纸要求及相关规范、技术要求</t>
  </si>
  <si>
    <t>主材甲供（包含轻钢龙骨材料、高晶板），其他所有辅材乙供</t>
  </si>
  <si>
    <t>轻钢龙骨阻燃板吊顶天棚（双层软膜）</t>
  </si>
  <si>
    <t>1、不上人轻钢天棚龙骨 主龙骨间距1000以内，次龙骨间距400以内;
2、18mm阻燃板（包含阴阳护角条）；
3、其他：满足设计图纸要求及相关规范、技术要求</t>
  </si>
  <si>
    <t>主材甲供（包含阻燃板、方管、金属板），其他所有辅材乙供</t>
  </si>
  <si>
    <t>天棚双层软膜</t>
  </si>
  <si>
    <t>(1)面层双层软膜。
2、其他：满足设计图纸要求及相关规范、技术要求</t>
  </si>
  <si>
    <t>主材甲供（软膜），其他所有辅材乙供</t>
  </si>
  <si>
    <t>1、墙砖（CT4/5)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</si>
  <si>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1、测量放线,角钢支架与混凝土墙预埋钢板焊牢(或膨胀螺栓固定) (具体详见施工图)规格（CT5/6/8)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</si>
  <si>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独立方柱金属覆膜板</t>
  </si>
  <si>
    <t>1、20*40方管
2、20MM*20MM方管
3、科技金属板专用卡扣龙骨（幕墙结构胶点胶）
4、科技金属板
5、其他：满足设计图纸要求及相关规范、技术要求</t>
  </si>
  <si>
    <t>F训1#（F训2#）</t>
  </si>
  <si>
    <t>1~5层地面</t>
  </si>
  <si>
    <t>1、CT-01 600*1200mm暖灰色防滑地砖,填缝剂擦缝。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</si>
  <si>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1.楼梯间地面砖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</si>
  <si>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按图示尺寸以投影面积计量</t>
  </si>
  <si>
    <t>1、CT-02 800*800mm暖灰色防滑地砖,填缝剂擦缝。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</si>
  <si>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1、CT 03 600*600mm暖灰色防滑地砖,填缝剂擦缝。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</si>
  <si>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1.门槛石大理石黑白根石材
2.基层清理、扫素水泥浆、基层砂浆铺贴、石材加强布去除、背面石材粘结剂、石材铺贴、勾缝以及为完成该项工作的一切工序【湿贴】
3.其他：满足设计图纸要求及相关规范、技术要求</t>
  </si>
  <si>
    <t>1、水泥砂浆找平，水泥砂浆找平20mm
2、其他：满足设计图纸要求及相关规范、技术要求</t>
  </si>
  <si>
    <t>1、水泥砂浆找平层 厚度每增减5mm
2、其他：满足设计图纸要求及相关规范、技术要求</t>
  </si>
  <si>
    <t>1~5层层天棚</t>
  </si>
  <si>
    <t>主材甲供（包含耐水腻子、水泥、无机涂料），其他所有辅材乙供</t>
  </si>
  <si>
    <t>天棚浅灰色无机涂料</t>
  </si>
  <si>
    <t>(1)双层9.5厚石膏板、石膏板面基层处理、贴绷带及点防锈漆；
(2)满刮2厚面层耐水腻子三遍(一底、二面漆),孔眼用腻子填平。白色无机涂料，油白色乳胶漆三度。
3、其他：满足设计图纸要求及相关规范、技术要求</t>
  </si>
  <si>
    <t>主材甲供（包含耐水腻子、水泥、无机涂料、石膏板），其他所有辅材乙供</t>
  </si>
  <si>
    <t>原顶浅灰色无机涂料</t>
  </si>
  <si>
    <t>主材甲供（包含耐水腻子、水泥、涂料），其他所有辅材乙供</t>
  </si>
  <si>
    <t>格栅吊顶上方喷
深灰色防尘漆</t>
  </si>
  <si>
    <t>(1)混凝土结构基层剔除模板屑、凿除模板缝漏浆等，涂刷界面剂；
2)深灰色防尘漆饰面三遍(一底、二面漆)(燃烧性能等级A级)
3)2厚耐水腻子分遍找平1遍
4)3厚底基防裂腻子分遍找平2遍
5、其他：满足设计图纸要求及相关规范、技术要求</t>
  </si>
  <si>
    <t>1~5层墙面</t>
  </si>
  <si>
    <t>1、楼梯间瓷砖踢脚线铺贴,20mm厚干硬性水泥砂浆（1:3)找平层，素水泥浆粘贴；
2、其他：满足设计图纸要求及相关规范、技术要求</t>
  </si>
  <si>
    <t>消防栓包管</t>
  </si>
  <si>
    <t>1、75系列龙骨
2、12mm厚单层硅酸钙板
3、其他：满足设计图纸要求及相关规范、技术要求</t>
  </si>
  <si>
    <t>按面积计算</t>
  </si>
  <si>
    <t>主材甲供（包含龙骨材料、硅酸钙板），其他所有辅材乙供</t>
  </si>
  <si>
    <t>E训1#（A训2#、A训1#、E训2#）</t>
  </si>
  <si>
    <t>主材甲供（包含耐水腻子、水泥、无机涂料、石膏板）</t>
  </si>
  <si>
    <t>1、不上人轻钢天棚龙骨 主龙骨间距1000以内，次龙骨间距400以内;
2、双层9.5mm防水石膏板；
3、其他：满足设计图纸要求及相关规范、技术要求</t>
  </si>
  <si>
    <t>主材甲供（包含耐水腻子、水泥、涂料）</t>
  </si>
  <si>
    <t>(1)混凝土结构基层剔除模板屑、凿除模板缝漏浆等，涂刷界面剂；对于无吊顶有涂料区域，以原现浇板移交精装单位，需刷素水泥浆一道甩毛；
2)涂料饰面三遍(一底、二面漆)(燃烧性能等级A级)
2)深灰色防尘漆饰面三遍(一底、二面漆)(燃烧性能等级A级)
3)2厚耐水腻子分遍找平1遍
4)3厚底基防裂腻子分遍找平2遍
5、其他：满足设计图纸要求及相关规范、技术要求</t>
  </si>
  <si>
    <t>A训5#、A训4#（A训3#，H训1#，H训2#）</t>
  </si>
  <si>
    <t>(1)双层9.5厚石膏板、石膏板面基层处理、贴绷带及点防锈漆；
(2)满刮2厚面层耐水腻子三遍(一底、二面漆),孔眼用腻子填平。
3、其他：满足设计图纸要求及相关规范、技术要求</t>
  </si>
  <si>
    <t>H训3#（H训4#，A训6#）、E训4#（E训3#，F训3#，F训4#）</t>
  </si>
  <si>
    <t>主材甲供（包含耐水腻子、无机涂料），其他所有辅材乙供</t>
  </si>
  <si>
    <t>F宿9#10#（F宿3#4#、F宿5#6#、F宿7#8#、F宿11#12#、F宿13#14#）</t>
  </si>
  <si>
    <t>公区及配套用房地面</t>
  </si>
  <si>
    <t>800*800地面砖</t>
  </si>
  <si>
    <t>1.800*800地面砖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</si>
  <si>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600*600地面砖</t>
  </si>
  <si>
    <t>1.600*600地面砖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</si>
  <si>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800*800楼梯间地面砖</t>
  </si>
  <si>
    <t>1.800*800楼梯间地面砖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</si>
  <si>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600*600地面砖（卫生间）</t>
  </si>
  <si>
    <t>1.600*600地面砖（卫生间）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</si>
  <si>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600*600地面砖（卫生间蹲坑区域）</t>
  </si>
  <si>
    <t>1.600*600地面砖（卫生间蹲坑区域）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</si>
  <si>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地面铺贴石材</t>
  </si>
  <si>
    <t>1.地面铺贴石材，含石材加工防滑槽
2.高差回填材料自行考虑          
3、1:3水泥砂浆结合层,表面撒水泥粉，厚度综合考虑
4、铺贴20厚石材
5、石材完工清洁、云石胶填缝、酸洗打蜡
6.其他：满足设计图纸要求及相关规范、技术要求</t>
  </si>
  <si>
    <t>主材甲供（包含石材、云石胶、水泥、砂），其他所有辅材乙供</t>
  </si>
  <si>
    <t>1.门槛石大理石
2.基层清理、扫素水泥浆、基层砂浆铺贴、石材加强布去除、背面石材粘结剂、石材铺贴、勾缝以及为完成该项工作的一切工序【湿贴】
3.其他：满足设计图纸要求及相关规范、技术要求</t>
  </si>
  <si>
    <t>宿舍地面</t>
  </si>
  <si>
    <t>600*600地面砖（卫生间、洗漱间）</t>
  </si>
  <si>
    <t>1.ST-01挡水石
2.基层清理、扫素水泥浆、基层砂浆铺贴、石材加强布去除、背面石材粘结剂、石材铺贴、勾缝以及为完成该项工作的一切工序【湿贴】
3.其他：满足设计图纸要求及相关规范、技术要求</t>
  </si>
  <si>
    <t>公区及配套用房天棚</t>
  </si>
  <si>
    <t>原顶面天棚白色无机涂料</t>
  </si>
  <si>
    <t>1、现浇钢筋混凝土顶板；对于无吊顶有涂料区域，以原现浇板移交精装单位，需刷素水泥浆一道甩毛；
2)涂料饰面三遍(一底、二面漆)(燃烧性能等级A级)
2、刷素水泥浆一道甩毛(内掺建筑胶) 
3、3厚底基防裂腻子分遍找平 
4、2厚耐水腻子分遍找平 
5、第一遍石膏腻子检补、人工砂纸打磨
6、第二遍外墙腻子批平、人工砂纸磨平
7、第三遍复补外墙腻子,人工砂纸细磨
8、第一遍底漆、补腻子磨砂纸
9、第二遍底漆、砂纸细磨
10、第一遍面漆、砂纸精磨
11、第二遍面漆
12、其他：满足设计图纸要求及相关规范、技术要求</t>
  </si>
  <si>
    <t>主材甲供（包含水泥、腻子、涂料），其他所有辅材乙供</t>
  </si>
  <si>
    <t>木纹铝方通吊顶吊顶</t>
  </si>
  <si>
    <t>1、木纹铝方通吊顶吊顶
2、轻钢主、副龙骨基层制作 
3、安装铝板专用吊件与轻钢龙骨固定 
4、安装铝板与铝板吊件用螺栓固定 
5、安装40*100铝方通间距100                                                                                                                                                                                                                6.其他：满足设计图纸要求及相关规范、技术要求</t>
  </si>
  <si>
    <t>主材甲供（包含铝扣板及收边条、轻钢龙骨整套、铝方通），其他所有辅材乙供</t>
  </si>
  <si>
    <t>(1)细木工板基层，防火处理，面贴单层9.5mm石膏板；
2、其他：满足设计图纸要求及相关规范、技术要求</t>
  </si>
  <si>
    <t>宿舍天棚</t>
  </si>
  <si>
    <t>五</t>
  </si>
  <si>
    <t>公区及配套用房墙面</t>
  </si>
  <si>
    <t>墙面铺贴瓷砖300*600(卫生间)</t>
  </si>
  <si>
    <t>1、墙砖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</si>
  <si>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墙面铺贴瓷砖300*600</t>
  </si>
  <si>
    <t>墙面铺贴瓷砖600*1200</t>
  </si>
  <si>
    <t>80mm高瓷砖踢脚线</t>
  </si>
  <si>
    <t>1、基层墙体
2、根据墙体材料选择专用界面处理剂一道甩毛,
不同界面交界处钉300mm宽钢丝网 
3、9厚1:2水泥砂浆粘结层(内掺建筑胶) 
4、铺贴10厚地砖踢脚 
5、清洁保护</t>
  </si>
  <si>
    <t>按图示尺寸以长度计量</t>
  </si>
  <si>
    <t>80mm高石塑踢脚线</t>
  </si>
  <si>
    <t>1、基层墙体
2、根据墙体材料选择专用界面处理剂一道甩毛,
不同界面交界处钉300mm宽钢丝网 
3、9厚1:2水泥砂浆粘结层(内掺建筑胶) 
4、铺贴10厚石塑踢脚 
5、清洁保护</t>
  </si>
  <si>
    <t>主材甲供（包石塑踢脚线、水泥、砂），其他所有辅材乙供</t>
  </si>
  <si>
    <t>水管包封</t>
  </si>
  <si>
    <t>主材甲供（包含龙骨、硅酸钙板），其他所有辅材乙供</t>
  </si>
  <si>
    <t>六</t>
  </si>
  <si>
    <t>宿舍墙面</t>
  </si>
  <si>
    <t>墙面铺贴瓷砖300*600(卫生间、洗漱间)</t>
  </si>
  <si>
    <t>石塑门套</t>
  </si>
  <si>
    <t>1、清理、弹线、定位、钻孔
2、门套阻燃板基层防腐防潮处理
3、30厚水泥砂浆塞缝
4、成品石塑门套制安
5、门套贴脸线、收口线制安
6、门套完工清洁</t>
  </si>
  <si>
    <t>按门洞三面长度计算</t>
  </si>
  <si>
    <t>主材甲供（包石塑线条、水泥、砂），其他所有辅材乙供</t>
  </si>
  <si>
    <t>七</t>
  </si>
  <si>
    <t>主材甲供(包含瓷砖、水泥、砂），其他所有辅材乙供</t>
  </si>
  <si>
    <t>1.地面铺贴石材，含石材加工防滑槽
2.高差回填材料自行考虑          3、1:3水泥砂浆结合层,表面撒水泥粉，厚度综合考虑
4、铺贴20厚石材
5、石材完工清洁、云石胶填缝、酸洗打蜡
6.其他：满足设计图纸要求及相关规范、技术要求</t>
  </si>
  <si>
    <t>主材甲供（包含石材、溢胶泥、水泥、砂），其他所有辅材乙供</t>
  </si>
  <si>
    <t>主材甲供(包含门槛大理石、水泥、砂），其他所有辅材乙供</t>
  </si>
  <si>
    <t>基层主材甲供(包含门槛石、水泥、砂），其他所有辅材乙供</t>
  </si>
  <si>
    <t>基层主材甲供(包含挡水石、水泥、砂），其他所有辅材乙供</t>
  </si>
  <si>
    <t>主材甲供(包含水泥、腻子、无机涂料），其他所有辅材乙供</t>
  </si>
  <si>
    <t>1、不上人型装配式轻钢天棚龙骨 主龙骨间距9000以内，次龙骨间距300以内 一级;
2、双层9.5mm石膏板（包含阴阳护角条）；
3、其他：满足设计图纸要求及相关规范、技术要求</t>
  </si>
  <si>
    <t>主材甲供（包含石膏板、整套龙骨），其他所有辅材乙供</t>
  </si>
  <si>
    <t>主材甲供(包含腻子、无机涂料），其他所有辅材乙供</t>
  </si>
  <si>
    <t>主材甲供（包含白色铝方通、整套龙骨、阻燃板），其他所有辅材乙供</t>
  </si>
  <si>
    <t>主材甲供（包含木工板、石膏板、整套龙骨、乳胶漆），其他所有辅材乙供</t>
  </si>
  <si>
    <t>主材甲供(包含腻子水泥、无机涂料），其他所有辅材乙供</t>
  </si>
  <si>
    <t>主材甲供(包含涂料）</t>
  </si>
  <si>
    <t>成品拉帘轨道</t>
  </si>
  <si>
    <t>满足设计图纸要求 及相关规范、技术要求</t>
  </si>
  <si>
    <t>主材甲供（包含墙地砖、槽钢、角钢），其他所有辅材乙供</t>
  </si>
  <si>
    <t>基层主材甲供(包含水泥、砂），其他所有辅材乙供</t>
  </si>
  <si>
    <t>主材甲供（包含水泥板、木工基层板、龙骨），其他所有辅材乙供</t>
  </si>
  <si>
    <t>墙面铺贴瓷砖墙裙300*300</t>
  </si>
  <si>
    <t>主材甲供（包含地砖、溢胶泥、水泥、砂），其他所有辅材乙供</t>
  </si>
  <si>
    <t>基层主材甲供(包含石塑门套、水泥、砂），其他所有辅材乙供</t>
  </si>
  <si>
    <t>F教1#-F教2#(F教3#-F教4#、E教1#-E教2#、E教3#-E教4#、E教5#-E教6#)</t>
  </si>
  <si>
    <t>1、地砖（CT01/2/3),填缝剂擦缝。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</si>
  <si>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水泥基自流平砂浆（地胶部分）</t>
  </si>
  <si>
    <t>水泥基自流平砂浆 面层4mm厚</t>
  </si>
  <si>
    <t>主材甲供(包含水泥）</t>
  </si>
  <si>
    <t>1~5层天棚</t>
  </si>
  <si>
    <t>主材甲供（包含白色高晶板、整套龙骨），其他所有辅材乙供</t>
  </si>
  <si>
    <t>木饰面</t>
  </si>
  <si>
    <t>（1）骨架及夹板基层，
（2）基层防火处理满足规范要求，
 (3)木饰面</t>
  </si>
  <si>
    <t>主材甲供（包含木饰面板、木工阻燃板、轻钢龙骨），其他所有辅材乙供</t>
  </si>
  <si>
    <t>成品半圆线收口条</t>
  </si>
  <si>
    <t>(1)成品半圆线收口条，定位、弹线、下料、固定等全部操作过程。
(1)其他：满足设计图纸要求及相关规范、技术要求.</t>
  </si>
  <si>
    <t>按延长米</t>
  </si>
  <si>
    <t>所有材料乙供</t>
  </si>
  <si>
    <t>1、墙砖（CT04/05)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</si>
  <si>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主材甲供（包含木工板），其他所有辅材乙供</t>
  </si>
  <si>
    <t>1、其他房间瓷砖踢脚线铺贴,20mm厚干硬性水泥砂浆（1:3)找平层，素水泥浆粘贴；
2、其他：满足设计图纸要求及相关规范、技术要求</t>
  </si>
  <si>
    <t>瓷砖窗台板</t>
  </si>
  <si>
    <t>（1）材质同墙裙
（2）满足设计图纸要求及相关规范、技术要求</t>
  </si>
  <si>
    <t>木饰面窗台板</t>
  </si>
  <si>
    <t>（1）骨架及夹板基层，
（2）基层防火处理满足规范要求，
 (3)木饰面窗台</t>
  </si>
  <si>
    <t>基层主材甲供(包含门槛石、水泥、砂）</t>
  </si>
  <si>
    <t>乙方负责所有材料</t>
  </si>
  <si>
    <t>1层地面</t>
  </si>
  <si>
    <t>1.地砖(CT1/6)
2.基层清理、扫素水泥浆、基层砂浆铺贴、瓷砖背面瓷砖胶泥或素水泥浆、瓷砖铺贴、勾缝以及为完成该项工作的一切工序【综合考虑瓷砖规格、铺贴砂浆厚度及配合比】
3.其他：满足设计图纸要求及相关规范、技术要求</t>
  </si>
  <si>
    <t>水磨石</t>
  </si>
  <si>
    <t>1.水磨石
2.基层清理、扫素水泥浆、基层砂浆铺贴、石材加强布去除、背面石材粘结剂、石材铺贴、勾缝以及为完成该项工作的一切工序【湿贴】
3.其他：满足设计图纸要求及相关规范、技术要求</t>
  </si>
  <si>
    <t>基层主材甲供(包含石子、水泥、砂）</t>
  </si>
  <si>
    <t>挡水坎石材铺贴(玻璃隔断处）</t>
  </si>
  <si>
    <t>基层主材甲供(包含挡水石、水泥、砂）</t>
  </si>
  <si>
    <t>1.门槛石ST-01石材
2.基层清理、扫素水泥浆、基层砂浆铺贴、石材加强布去除、背面石材粘结剂、石材铺贴、勾缝以及为完成该项工作的一切工序【湿贴】
3.其他：满足设计图纸要求及相关规范、技术要求</t>
  </si>
  <si>
    <t>木饰面地台</t>
  </si>
  <si>
    <t>（1）骨架及夹板基层，
（2）基层防火处理满足规范要求，
(3)木饰面地台</t>
  </si>
  <si>
    <t>水泥砂浆找平，水泥砂浆找平20mm</t>
  </si>
  <si>
    <t>2层地面</t>
  </si>
  <si>
    <t>3~5层地面</t>
  </si>
  <si>
    <t>1</t>
  </si>
  <si>
    <t>2</t>
  </si>
  <si>
    <t>轻钢龙骨矿棉板吊顶天棚</t>
  </si>
  <si>
    <t>1、不上人轻钢天棚龙骨 主龙骨间距1000以内，次龙骨间距400以内;
2、矿棉板；
3、其他：满足设计图纸要求及相关规范、技术要求</t>
  </si>
  <si>
    <t>乳胶漆-原顶白色无机涂料</t>
  </si>
  <si>
    <t>亚克力透光板</t>
  </si>
  <si>
    <t>（1）木龙骨的安装
（2）基层板需做防潮防火防霉处理，安装固定
（3）10厘亚克力透光板安装固定.</t>
  </si>
  <si>
    <t>主材甲供(包含亚克力、木龙骨），其他所有辅材乙供</t>
  </si>
  <si>
    <t>轻钢龙骨硅酸钙板吊顶天棚</t>
  </si>
  <si>
    <t>(1)不上人型装配式U型轻钢天棚50系列龙骨 主龙骨间距800以内，次龙骨间距300以内 一级;
（2）硅酸钙板吊顶</t>
  </si>
  <si>
    <t>(1)基层处理、贴绷带及点防锈漆；
(2)防水腻子，面油白色防水乳胶漆三度。</t>
  </si>
  <si>
    <t>1~2层墙面</t>
  </si>
  <si>
    <t>1、专用界面剂
2、内墙腻子、分遍打磨【含阴阳角成品线条，成膜厚度满足要求】
3、基层清理，乳胶漆一底两面，成膜厚度满足要求</t>
  </si>
  <si>
    <t>石材台面（与幕墙处）</t>
  </si>
  <si>
    <t>（1）骨架、夹板基层及预埋件，
（2）基层防火处理满足规范要求，
（3）石材饰面</t>
  </si>
  <si>
    <t>仿布纹竹炭纤维板</t>
  </si>
  <si>
    <t>（1）骨架、夹板基层及预埋件，
（2）基层防火处理满足规范要求，
（3）仿布纹竹炭纤维板</t>
  </si>
  <si>
    <t>主材甲供(包含纤维板、基层板），其他所有辅材乙供</t>
  </si>
  <si>
    <t>仿木纹竹炭纤维板</t>
  </si>
  <si>
    <t>（1）骨架、夹板基层及预埋件，
（2）基层防火处理满足规范要求，
（3）仿木纹竹炭纤维板</t>
  </si>
  <si>
    <t>1、墙砖(CT04/5)
2、基层清理或修补，基层甩毛，瓷砖背面刷界面剂脱膜、满批瓷砖粘结剂、镶贴瓷砖、勾缝、擦缝清理及为完成该项工作的一切工序【综合考虑瓷砖规格，铜丝点挂部位综合考虑在内，不另行计取】</t>
  </si>
  <si>
    <t>主材甲供(包含木工板、基层板），其他所有辅材乙供</t>
  </si>
  <si>
    <t>吸音板</t>
  </si>
  <si>
    <t>（1）骨架及夹板基层，
（2）基层防火处理满足规范要求，
 (3)吸音板</t>
  </si>
  <si>
    <t>主材甲供(包含吸音板、基层板），其他所有辅材乙供</t>
  </si>
  <si>
    <t>1、吊顶开检修孔；
2、成品检修口安装</t>
  </si>
  <si>
    <t>3~5层墙面</t>
  </si>
  <si>
    <t>灰色瓷砖</t>
  </si>
  <si>
    <t>1.灰色瓷砖(CT01/02)
2.基层清理、扫素水泥浆、基层砂浆铺贴、瓷砖背面瓷砖胶泥或素水泥浆、瓷砖铺贴、勾缝以及为完成该项工作的一切工序【综合考虑瓷砖规格、铺贴砂浆厚度及配合比】
3.其他：满足设计图纸要求及相关规范、技术要求</t>
  </si>
  <si>
    <t>灰色石材</t>
  </si>
  <si>
    <t>1.灰色石材ST-02
2.基层清理、扫素水泥浆、基层砂浆铺贴、石材加强布去除、背面石材粘结剂、石材铺贴、勾缝以及为完成该项工作的一切工序【湿贴】
3.其他：满足设计图纸要求及相关规范、技术要求</t>
  </si>
  <si>
    <t>1.门槛石黑白根
2.基层清理、扫素水泥浆、基层砂浆铺贴、石材加强布去除、背面石材粘结剂、石材铺贴、勾缝以及为完成该项工作的一切工序【湿贴】
3.其他：满足设计图纸要求及相关规范、技术要求</t>
  </si>
  <si>
    <t>水泥基自流平砂浆</t>
  </si>
  <si>
    <t>3层地面</t>
  </si>
  <si>
    <t>黑白根窗台石</t>
  </si>
  <si>
    <t>1.黑白根
2.基层清理、扫素水泥浆、基层砂浆铺贴、石材加强布去除、背面石材粘结剂、石材铺贴、勾缝以及为完成该项工作的一切工序【湿贴】
3.其他：满足设计图纸要求及相关规范、技术要求</t>
  </si>
  <si>
    <t>基层主材甲供(包含窗台石、水泥、砂），其他所有辅材乙供</t>
  </si>
  <si>
    <t>3</t>
  </si>
  <si>
    <t>6</t>
  </si>
  <si>
    <t>8</t>
  </si>
  <si>
    <t>9</t>
  </si>
  <si>
    <t>4层地面</t>
  </si>
  <si>
    <t>5-6层地面</t>
  </si>
  <si>
    <t>7层地面</t>
  </si>
  <si>
    <t>1~6层层天棚</t>
  </si>
  <si>
    <t>1、不上人型装配式U型50系列轻钢天棚龙骨 主龙骨间距800以内，次龙骨间距300以内 一级;
2、高晶板；
3、其他：满足设计图纸要求及相关规范、技术要求</t>
  </si>
  <si>
    <t>1、不上人轻钢天棚龙骨 主龙骨间距1000以内，次龙骨间距400以内;
2、硅酸钙板吊顶
3、其他：满足设计图纸要求及相关规范、技术要求</t>
  </si>
  <si>
    <t>主材甲供（包含硅钙板、整套龙骨），其他所有辅材乙供</t>
  </si>
  <si>
    <t>(1)基层处理、贴绷带及点防锈漆；
(2)防水腻子，面油白色防水乳胶漆三度。
3、其他：满足设计图纸要求及相关规范、技术要求</t>
  </si>
  <si>
    <t>反支撑天花（天花完成面矩楼板尺寸1500&lt;W&lt;2000）</t>
  </si>
  <si>
    <t>1、M8x100mm热镀锌膨胀螺栓，L50x50x5mm热镀锌角钢角钢与角钢满焊固定
2、L50x50x5mm热镀锌角钢
3、其他：满足设计图纸要求及相关规范、技术要求</t>
  </si>
  <si>
    <t>主材甲供（包含角钢、整套龙骨、阻燃板），其他所有辅材乙供</t>
  </si>
  <si>
    <t>10</t>
  </si>
  <si>
    <t>八</t>
  </si>
  <si>
    <t>7层天棚</t>
  </si>
  <si>
    <t>1、不上人轻钢天棚龙骨 主龙骨间距1000以内，次龙骨间距400以内;
（2）硅酸钙板吊顶
3、其他：满足设计图纸要求及相关规范、技术要求</t>
  </si>
  <si>
    <t>主材甲供（包含硅钙板板、整套龙骨），其他所有辅材乙供</t>
  </si>
  <si>
    <t>铝格栅</t>
  </si>
  <si>
    <t>1、铝格栅
2、清理基层、轻钢龙骨基层，铝格栅吊顶，打胶以及为完成该项工作的一切工序
3、其他：满足设计图纸要求及相关规范、技术要求</t>
  </si>
  <si>
    <t>主材甲供（包含铝格栅、整套龙骨），其他所有辅材乙供</t>
  </si>
  <si>
    <t>九</t>
  </si>
  <si>
    <t>1、专用界面剂
2、内墙腻子、分遍打磨【含阴阳角成品线条，成膜厚度满足要求】
3、基层清理，乳胶漆一底两面，成膜厚度满足要求
4、其他：满足设计图纸要求及相关规范、技术要求</t>
  </si>
  <si>
    <t>（1）骨架、夹板基层及预埋件，
（2）基层防火处理满足规范要求，
（3）石材饰面
4、其他：满足设计图纸要求及相关规范、技术要求</t>
  </si>
  <si>
    <t>（1）骨架及夹板基层，
（2）基层防火处理满足规范要求，
 (3)木饰面
4、其他：满足设计图纸要求及相关规范、技术要求</t>
  </si>
  <si>
    <t>十</t>
  </si>
  <si>
    <t>3~6层墙面</t>
  </si>
  <si>
    <t>十一</t>
  </si>
  <si>
    <t>7层墙面</t>
  </si>
  <si>
    <t>十二</t>
  </si>
  <si>
    <t>800*800地面砖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</si>
  <si>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600*600地面砖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</si>
  <si>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主材甲供（包含地砖、水泥、砂），其他所有辅材乙供</t>
  </si>
  <si>
    <t>800*800楼梯间地面砖，拉5*5mm防滑槽三道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</si>
  <si>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白色地胶龙骨、基层</t>
  </si>
  <si>
    <t xml:space="preserve">1、18mm防火阻燃板,抬高处有此项;
2、L40x40x4mm热镀锌角钢基础(满焊、防锈处理),膨胀螺栓固定,抬高
高度见图纸标高,抬高处有此项;
3、其他：满足设计图纸要求及相关规范、技术要求。
</t>
  </si>
  <si>
    <t>基层主材甲供（包含阻燃板、角钢），其他所有辅材乙供</t>
  </si>
  <si>
    <t>自流平地面</t>
  </si>
  <si>
    <t xml:space="preserve">1、3mm厚水泥自流平工序一道,找平;
2、基础地面清理,修补;
3、其他：满足设计图纸要求及相关规范、技术要求。
</t>
  </si>
  <si>
    <t>乙方负责材料</t>
  </si>
  <si>
    <t>1、门槛石黑白根，20mm；
2、基层清理、扫素水泥浆、基层砂浆铺贴、石材加强布去除、背面石材粘结剂、石材铺贴、勾缝以及为完成该项工作的一切工序【湿贴】；
3、其他：满足设计图纸要求及相关规范、技术要求。</t>
  </si>
  <si>
    <t>基层主材甲供（包含水泥、砂）</t>
  </si>
  <si>
    <t>800*800楼梯间地面砖，拉5*5mm防滑槽三道；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</si>
  <si>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1、沉箱陶粒回填，回填厚度400mm以内；
2、其他：满足设计图纸要求及相关规范、技术要求。</t>
  </si>
  <si>
    <t>按图示尺寸以填充体积计算</t>
  </si>
  <si>
    <t>m³</t>
  </si>
  <si>
    <t>主材甲供（包含陶粒），其他所有辅材乙供</t>
  </si>
  <si>
    <t>黑白根地面边线
（玻璃栏杆地台）</t>
  </si>
  <si>
    <t>1、黑白根地面边线（地台），厚20mm；
2、基层清理、扫素水泥浆、基层砂浆铺贴、石材加强布去除、背面石材粘结剂、石材铺贴、勾缝以及为完成该项工作的一切工序【湿贴】；
3、其他：满足设计图纸要求及相关规范、技术要求。</t>
  </si>
  <si>
    <t>基层主材甲供（包含黑白根大理石、水泥、砂），其他所有辅材乙供</t>
  </si>
  <si>
    <t>1、门槛石黑白根，厚20mm；
2、基层清理、扫素水泥浆、基层砂浆铺贴、石材加强布去除、背面石材粘结剂、石材铺贴、勾缝以及为完成该项工作的一切工序【湿贴】；
3、其他：满足设计图纸要求及相关规范、技术要求。</t>
  </si>
  <si>
    <t>基层主材甲供（包含水泥、砂），其他所有辅材乙供</t>
  </si>
  <si>
    <t>800*800楼梯间地面砖，拉5*5mm防滑槽三道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</si>
  <si>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主材甲供（包含陶粒）</t>
  </si>
  <si>
    <t>黑白根地面边线
（宽200mm）</t>
  </si>
  <si>
    <t>1、黑白根地面边线，厚20mm；
2、基层清理、扫素水泥浆、基层砂浆铺贴、石材加强布去除、背面石材粘结剂、石材铺贴、勾缝以及为完成该项工作的一切工序【湿贴】；
3、其他：满足设计图纸要求及相关规范、技术要求。</t>
  </si>
  <si>
    <t>基层主材甲供（包含门槛石、水泥、砂），其他所有辅材乙供</t>
  </si>
  <si>
    <t>600*600地面砖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</si>
  <si>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300*300地面砖</t>
  </si>
  <si>
    <t>300*300地面砖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</si>
  <si>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800*800楼梯间地面砖，拉5*5mm防滑槽三道；
1、地砖,填缝剂擦缝；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</si>
  <si>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5层地面</t>
  </si>
  <si>
    <t>1层天棚</t>
  </si>
  <si>
    <t>1、100*200@150壁厚0.8mm铝板吊顶;
2、50系列轻钢主@=600,副龙骨@=600;
3、%%C8吊筋膨胀螺栓固定楼板上,防锈处理 间距1.0m;
4、其他：满足设计图纸要求及相关规范、技术要求</t>
  </si>
  <si>
    <t>主材甲供(包含铝格栅、整套龙骨），其他所有辅材乙供</t>
  </si>
  <si>
    <t>乳胶漆-原顶灰色无机涂料</t>
  </si>
  <si>
    <t>(1)混凝土结构基层剔除模板屑、凿除模板缝漏浆等，涂刷界面剂；
(2)灰色无机涂料。</t>
  </si>
  <si>
    <t>1、不上人型装配式U型50系列轻钢天棚龙骨 主龙骨间距800以内，次龙骨间距300以内 一级;
2、9.5mm石膏板；
3、其他：满足设计图纸要求及相关规范、技术要求</t>
  </si>
  <si>
    <t>(1)石膏板面基层处理、贴绷带及点防锈漆；
(2)白色无机涂料，油白色乳胶漆三度。
3、其他：满足设计图纸要求及相关规范、技术要求</t>
  </si>
  <si>
    <t>1、不上人型装配式U型50系列轻钢天棚龙骨 主龙骨间距800以内，次龙骨间距300以内 一级;
2、高晶板 300*1200mm14.5mm；
3、其他：满足设计图纸要求及相关规范、技术要求</t>
  </si>
  <si>
    <t>(1)混凝土结构基层剔除模板屑、凿除模板缝漏浆等，涂刷界面剂；
(2)白色无机涂料。</t>
  </si>
  <si>
    <t>主材甲供(包含硅钙板、整套龙骨），其他所有辅材乙供</t>
  </si>
  <si>
    <t>木纹铝格栅</t>
  </si>
  <si>
    <t>反支撑天花（天花吊杆高度1500&lt;W&lt;2200）</t>
  </si>
  <si>
    <t>1.L50x50x5mm热镀锌角钢与C8吊筋满焊固定；
2.其他：满足设计图纸要求及相关规范、技术要求。</t>
  </si>
  <si>
    <t>天花检修口</t>
  </si>
  <si>
    <t>1.吊顶开检修孔300*1200mm；
2.铝合金暗式检修口安装。</t>
  </si>
  <si>
    <t>1、细木工板基层，防火处理，面贴单层9.5mm石膏板（不含面层乳胶漆，计入天棚乳胶漆）；
2、其他：满足设计图纸要求及相关规范、技术要求。</t>
  </si>
  <si>
    <t>1、细木工板基层，刷防火涂料二遍；面贴石膏板（不含面层乳胶漆，计入天棚乳胶漆）；
2、其他：满足设计图纸要求及相关规范、技术要求。</t>
  </si>
  <si>
    <t>2层天棚</t>
  </si>
  <si>
    <t>1、铝格栅
2、清理基层、轻钢龙骨基层，铝扣板吊顶、线条收边收口，打胶以及为完成该项工作的一切工序
3、其他：满足设计图纸要求及相关规范、技术要求</t>
  </si>
  <si>
    <t>1、不上人型装配式U型50系列轻钢天棚龙骨 主龙骨间距800以内，次龙骨间距300以内 一级;
2、9.5mm石膏板；
3、其他：满足设计图纸要求及相关规范、技术要求。</t>
  </si>
  <si>
    <t>(1)石膏板面基层处理、贴绷带及点防锈漆；
(2)白色无机涂料，油白色乳胶漆三度；
3、其他：满足设计图纸要求及相关规范、技术要求。</t>
  </si>
  <si>
    <t>1、不上人型装配式U型50系列轻钢天棚龙骨 主龙骨间距800以内，次龙骨间距300以内 一级;
2、高晶板 300*1200mm14.5mm；
3、其他：满足设计图纸要求及相关规范、技术要求。</t>
  </si>
  <si>
    <t>1、混凝土结构基层剔除模板屑、凿除模板缝漏浆等，涂刷界面剂；
2、白色无机涂料。</t>
  </si>
  <si>
    <t>1、不上人型装配式U型轻钢天棚50系列龙骨 主龙骨间距800以内，次龙骨间距300以内 一级;
2、硅酸钙板吊顶。</t>
  </si>
  <si>
    <t>1、基层处理、贴绷带及点防锈漆；
2、防水腻子，面油白色防水乳胶漆三度。</t>
  </si>
  <si>
    <t>1、L50x50x5mm热镀锌角钢与C8吊筋满焊固定；
2、其他：满足设计图纸要求及相关规范、技术要求。</t>
  </si>
  <si>
    <t>转换层天花（天花吊杆高度&gt;2200）</t>
  </si>
  <si>
    <t>1、L50*50*5热镀锌角钢 @=800mm；
2、L50*50*5热镀锌角钢立杆(与建筑顶板固定)；
3、其他：满足设计图纸要求及相关规范、技术要求。</t>
  </si>
  <si>
    <t>1、细木工板基层，刷防火涂料二遍；面贴石膏板（不含面层乳胶漆，计入天棚乳胶漆）
2、其他：满足设计图纸要求及相关规范、技术要求。</t>
  </si>
  <si>
    <t>3层天棚</t>
  </si>
  <si>
    <t>1、铝格栅；
2、清理基层、轻钢龙骨基层，铝扣板吊顶、线条收边收口，打胶以及为完成该项工作的一切工序；
3、其他：满足设计图纸要求及相关规范、技术要求。</t>
  </si>
  <si>
    <t>1、混凝土结构基层剔除模板屑、凿除模板缝漏浆等，涂刷界面剂；
2、灰色无机涂料。</t>
  </si>
  <si>
    <t>1、石膏板面基层处理、贴绷带及点防锈漆；
2、白色无机涂料，油白色乳胶漆三度；
3、其他：满足设计图纸要求及相关规范、技术要求。</t>
  </si>
  <si>
    <t>1.吊顶开检修孔300*2400mm；
2.铝合金暗式检修口安装。</t>
  </si>
  <si>
    <t>4层天棚</t>
  </si>
  <si>
    <t>5层天棚</t>
  </si>
  <si>
    <t>乳胶漆-原顶白（灰）色无机涂料</t>
  </si>
  <si>
    <t>1、混凝土结构基层剔除模板屑、凿除模板缝漏浆等，涂刷界面剂；
2、白（灰）色无机涂料。</t>
  </si>
  <si>
    <t>新建方钢造型隔墙</t>
  </si>
  <si>
    <t>1、双面18mm防火阻燃板+木纹格栅板,内填防火岩棉；
2、镀锌50方钢骨架；
3、新建隔墙均需先用镀锌75方钢骨架基础,在进行隔墙施工,面向大厅高度3000mm；
4、其他：满足设计图纸要求及相关规范、技术要求。</t>
  </si>
  <si>
    <t>清单工程量为面层展开面积，骨架及防火棉等按垂直投影面积计算。</t>
  </si>
  <si>
    <t>主材甲供(包含木纹格栅板、阻燃板、龙骨），其他所有辅材乙供</t>
  </si>
  <si>
    <t>办公区大厅背景墙</t>
  </si>
  <si>
    <t>1、灰色大理石挂贴，厚度20mm；
2、立杆50*50方钢立柱，横杆L50x50x4mm热镀锌角钢；
3、成品T型不锈钢挂件,云石胶固定;
4、4、其他：满足设计图纸要求及相关规范、技术要求。</t>
  </si>
  <si>
    <t>主材甲供(包含大理石、方钢、角钢），其他所有辅材乙供</t>
  </si>
  <si>
    <t>瓷砖CT-01踢脚线H=100mm</t>
  </si>
  <si>
    <t>1、瓷砖CT-01踢脚线，H=100mm；
2、基层清理或修补，基层甩毛，瓷砖背面刷界面剂脱膜、满挂瓷砖粘结剂、镶贴瓷砖、勾缝、擦缝清理及为完成该项工作的一切工序；
3、其他：满足设计图纸要求及相关规范、技术要求。</t>
  </si>
  <si>
    <t>白色乳胶漆墙面</t>
  </si>
  <si>
    <t>1、白色乳胶漆饰面(3底2面)，成膜厚度满足要求；
2、 2厚面层耐水腻子分遍刮平,砂纸打磨【含阴阳角成品线条，成膜厚度满足要求】；
3、12厚1:1:6水泥石灰膏砂浆打底；
4、其他：满足设计图纸要求及相关规范、技术要求。</t>
  </si>
  <si>
    <t>金属碳晶板墙面 WD-01</t>
  </si>
  <si>
    <t>1、8mm成品金属碳晶板WD-01饰面；
2、阳角收口；
3、9厘阻燃板基层，防蛀、防潮、防火、防腐处理；
4、C50轻钢龙骨基础@=600,横向龙骨@=600,支撑卡固定；
5、基础墙面清理、修补，完工清洁、保护；
6、其他：满足设计图纸要求及相关规范、技术要求。</t>
  </si>
  <si>
    <t>主材甲供(包含金属碳晶板、阻燃板、龙骨），其他所有辅材乙供</t>
  </si>
  <si>
    <t>木纹碳晶板WD-02</t>
  </si>
  <si>
    <t>1、8mm成品木纹碳晶板WD-02;
2、9mm防火阻燃板；
3、C50轻钢龙骨基础@=600,横向龙骨@=600,支撑卡固定；
4、基础墙面清理,修补；
5、其他：满足设计图纸要求及相关规范、技术要求。</t>
  </si>
  <si>
    <t>主材甲供(包含木纹碳晶板、阻燃板、龙骨），其他所有辅材乙供</t>
  </si>
  <si>
    <t>木纹格栅板WD-07</t>
  </si>
  <si>
    <t>1、18mm厚木纹格栅板WD-07;
2、9mm防火阻燃板；
3、C50轻钢龙骨基础@=600,横向龙骨@=600,支撑卡固定；
4、基础墙面清理,修补；
5、其他：满足设计图纸要求及相关规范、技术要求。</t>
  </si>
  <si>
    <t>金属碳晶板柱面 WD-01</t>
  </si>
  <si>
    <t>1、8mm成品金属碳晶板WD-01；
2、9mm防火阻燃板；
3、C50轻钢龙骨基础@=600,横向龙骨@=600,支撑卡固定；
4、基础墙面清理,修补；
5、其他：满足设计图纸要求及相关规范、技术要求。</t>
  </si>
  <si>
    <t>布艺硬包</t>
  </si>
  <si>
    <t>1、12mm成品布艺硬包饰面;
2、12mm防火阻燃板;
3、C50轻钢龙骨基础@=600,横向龙骨@=600,支撑卡固定;
4、基础墙面清理,修补;
5、其他：满足设计图纸要求及相关规范、技术要求。</t>
  </si>
  <si>
    <t>主材甲供(包含硬包、阻燃板、龙骨），其他所有辅材乙供</t>
  </si>
  <si>
    <t>独立柱艺术肌理漆PT-04</t>
  </si>
  <si>
    <t>1、艺术肌理漆PT-04；
2、2厚面层耐水腻子分遍刮平,砂纸打磨；
3、12厚1:1:6水泥石灰膏砂浆打底；
4、其他：满足设计图纸要求及相关规范、技术要求。</t>
  </si>
  <si>
    <t>主材甲供(包含腻子、艺术漆），其他所有辅材乙供</t>
  </si>
  <si>
    <t>木饰面柱面WD-09</t>
  </si>
  <si>
    <t>1、骨架及夹板基层，
2、基层防火处理满足规范要求，
3、木饰面，厚12mm；
4、其他：满足设计图纸要求及相关规范、技术要求。</t>
  </si>
  <si>
    <t>主材甲供（包含木饰面板、木工阻燃板），其他所有辅材乙供</t>
  </si>
  <si>
    <t>聚酯纤维吸音板WD-06</t>
  </si>
  <si>
    <t>1、成品吸音板，厚15mm；
2、12mm厚防火阻燃板基层；
3、钢龙骨间隙满铺隔音毡；
4、C50方钢骨架,横竖@=600；
5、其他：满足设计图纸要求及相关规范、技术要求。</t>
  </si>
  <si>
    <t>主材甲供(包含吸音板、阻燃板、龙骨、隔音垫），其他所有辅材乙供</t>
  </si>
  <si>
    <t>艺术墙布WC-01</t>
  </si>
  <si>
    <t>1、成品墙布饰面；
2、2厚面层耐水腻子分遍刮平,砂纸打磨；
3、12厚1:1:6水泥石灰膏砂浆打底；
4、其他：满足设计图纸要求及相关规范、技术要求。</t>
  </si>
  <si>
    <t>主材甲供(包含墙布、腻子、石膏、水泥、砂），其他所有辅材乙供</t>
  </si>
  <si>
    <r>
      <rPr>
        <sz val="9"/>
        <rFont val="宋体"/>
        <charset val="134"/>
      </rPr>
      <t>艺术墙布WC-01</t>
    </r>
    <r>
      <rPr>
        <sz val="9"/>
        <color rgb="FFFF0000"/>
        <rFont val="宋体"/>
        <charset val="134"/>
      </rPr>
      <t>(独立柱)</t>
    </r>
  </si>
  <si>
    <t>1.成品墙布饰面；
2.2厚面层耐水腻子分遍刮平,砂纸打磨；
3.12厚1:1:6水泥石灰膏砂浆打底；
4.其他：满足设计图纸要求及相关规范、技术要求。</t>
  </si>
  <si>
    <t>卫生间铺贴灰色瓷砖300*600mmCT-03</t>
  </si>
  <si>
    <t>1.灰色瓷砖300*600mmCT-03；
2.基层清理或修补，基层甩毛，瓷砖背面刷界面剂脱膜、满批瓷砖粘结剂、镶贴瓷砖、勾缝、擦缝清理及为完成该项工作的一切工序；
3.阳角收口；
4.其他：满足设计图纸要求及相关规范、技术要求。</t>
  </si>
  <si>
    <t>点挂灰色瓷砖400*800mmCT-05</t>
  </si>
  <si>
    <t>1、灰色瓷砖400*800mmCT-05饰面,白水泥擦缝(粘贴前墙砖充分浸湿)；
2、成品T型不锈钢挂件,钢钉锚定,云石胶固定及为完成该项工作的一切工序；
3、4厚1:2建筑胶水泥砂浆(有水房间内掺3%超密聚合物防水剂)粘结层；
4、12厚1:2.5水泥砂浆(内掺3%超密聚合物防水剂)压实抹平；
5、综合考虑阳角收口等辅助工作；
6、其他：满足设计图纸要求及相关规范、技术要求。</t>
  </si>
  <si>
    <t>多功能厅木纹吸音板WD-05</t>
  </si>
  <si>
    <t>1、木纹吸音板WD-05；
2、成品吸音板，厚15mm；
3、12mm厚防火阻燃板基础；
4、钢龙骨间隙满铺隔音毡；
5、C50方钢骨架,横竖@=600；
6、其他：满足设计图纸要求及相关规范、技术要求。</t>
  </si>
  <si>
    <t>主材甲供（包含吸音板、木工阻燃基层板、龙骨），其他所有辅材乙供</t>
  </si>
  <si>
    <t>多功能厅白色吸音板WD-04</t>
  </si>
  <si>
    <t>1、白色吸音板WD-04；
2、成品吸音板，厚15mm；；
3、12mm厚防火阻燃板基础；
4、钢龙骨间隙满铺隔音毡；
5、C50方钢骨架,横竖@=600；
6、其他：满足设计图纸要求及相关规范、技术要求。</t>
  </si>
  <si>
    <t>除卫生间外房间包水管</t>
  </si>
  <si>
    <t>1、75系列龙骨；
2、化学螺栓或射钉中距@600；
3、18厚阻燃板基层；
4、8厚水泥板面层；
5、其他：满足设计图纸要求及相关规范、技术要求</t>
  </si>
  <si>
    <t>卫生间包水管</t>
  </si>
  <si>
    <t>1、75系列龙骨；
2、化学螺栓或射钉中距@600；
3、12厚水泥压力板；
4、钢丝网层；
5、其他：满足设计图纸要求及相关规范、技术要求。</t>
  </si>
  <si>
    <t>1、含L30x30x3mm方钢基础骨架、1mm钢板衬底及基层夹板等（不含面层材料）；
2、综合考虑暗双铰链及相关所需扣件、连接件辅材；
3、其他：满足设计图纸要求及相关规范、技术要求。</t>
  </si>
  <si>
    <t>按洞口面积计算</t>
  </si>
  <si>
    <t>水电井暗门</t>
  </si>
  <si>
    <t>1、含L50x50x4mm热镀锌角钢骨架及基层夹板等（不含面层材料）；
2、综合考虑暗天地转轴及相关所需扣件、连接件辅材；
3、其他：满足设计图纸要求及相关规范、技术要求。</t>
  </si>
  <si>
    <t>茶水柜大理石背景墙</t>
  </si>
  <si>
    <t>1、ST-02意大利灰大理石背景墙；
2、基层清理、扫素水泥浆、基层砂浆铺贴、石材加强布去除、背面石材粘结剂、石材铺贴、勾缝以及为完成该项工作的一切工序【湿贴】；
3、其他：满足设计图纸要求及相关规范、技术要求。</t>
  </si>
  <si>
    <t>部分主材甲供(包含大理石、木工板、水泥、砂），其他所有辅材乙供</t>
  </si>
  <si>
    <t>防滑地砖-600*1200mmCT-01</t>
  </si>
  <si>
    <t>1、防滑地砖-600*1200mmCT-01,填缝剂擦缝。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</si>
  <si>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防滑地砖-600*600mmCT-02</t>
  </si>
  <si>
    <t>1、防滑地砖-600*600mmCT-02,填缝剂擦缝。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</si>
  <si>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主材甲供（包含墙地砖、水泥、砂）</t>
  </si>
  <si>
    <t>防滑地砖-800*800mmCT-03</t>
  </si>
  <si>
    <t>1、防滑地砖-800*800mmCT-03,填缝剂擦缝。
2.基层清理、扫素水泥浆、基层砂浆铺贴、瓷砖背面瓷砖胶泥或素水泥浆、瓷砖铺贴、勾缝以及为完成该项工作的一切工序【综合考虑瓷砖规格、铺贴砂浆厚度及配合比】
3.其他：满足设计图纸要求及相关规范、技术要求</t>
  </si>
  <si>
    <t>门槛石-ST-01</t>
  </si>
  <si>
    <t>1.门槛石-ST-01石材
2.基层清理、扫素水泥浆、基层砂浆铺贴、石材加强布去除、背面石材粘结剂、石材铺贴、勾缝以及为完成该项工作的一切工序【湿贴】
3.其他：满足设计图纸要求及相关规范、技术要求</t>
  </si>
  <si>
    <t>基层主材甲供（包含门槛石、水泥、砂）</t>
  </si>
  <si>
    <t>1.水泥砂浆找平层 厚度每增减5mm；
2.其他：满足设计图纸要求及相关规范、技术要求。</t>
  </si>
  <si>
    <t>主材甲供（包含水泥、砂）</t>
  </si>
  <si>
    <t>1、沉箱陶粒回填，回填厚度400mm以内；
2、其他：满足设计图纸要求及相关规范、技术要求</t>
  </si>
  <si>
    <t>按图示尺寸以体积计量</t>
  </si>
  <si>
    <t>1.水泥基自流平砂浆 面层2mm厚。</t>
  </si>
  <si>
    <t>乙供材料</t>
  </si>
  <si>
    <t>双层石膏板9.5mm吊顶</t>
  </si>
  <si>
    <t>1.双层石膏板9.5mm；
2.60系列上人轻钢龙骨,主龙骨间距900-1200,次龙骨间距300-400mm,Φ8钢筋吊杆；
3.其他：满足设计图纸要求及相关规范、技术要求。</t>
  </si>
  <si>
    <t>白色无机涂料PT-01</t>
  </si>
  <si>
    <t>1.石膏板面基层处理、贴绷带及点防锈漆；
2.满刮2厚面层耐水腻子三遍(一底、二面漆),孔眼用腻子填平；
3.其他：满足设计图纸要求及相关规范、技术要求。</t>
  </si>
  <si>
    <t>原顶-白色无机涂料PT-01</t>
  </si>
  <si>
    <r>
      <rPr>
        <sz val="9"/>
        <color theme="1"/>
        <rFont val="宋体"/>
        <charset val="134"/>
        <scheme val="minor"/>
      </rPr>
      <t>1.混凝土结构基层剔除模板屑、凿除模板缝漏浆等，涂刷界面剂；</t>
    </r>
    <r>
      <rPr>
        <sz val="9"/>
        <color rgb="FFFF0000"/>
        <rFont val="宋体"/>
        <charset val="134"/>
        <scheme val="minor"/>
      </rPr>
      <t>对于无吊顶有涂料的区域，以原现浇板移交精装单位，需刷素水泥浆一道甩毛；</t>
    </r>
    <r>
      <rPr>
        <sz val="9"/>
        <color theme="1"/>
        <rFont val="宋体"/>
        <charset val="134"/>
        <scheme val="minor"/>
      </rPr>
      <t xml:space="preserve">
2.白色无机涂料PT-01(一底、二面漆)；
3.2mm厚耐水腻子分遍找平1遍；
4.3mm厚底基防裂腻子分遍找平2遍；
5.其他：满足设计图纸要求及相关规范、技术要求。</t>
    </r>
  </si>
  <si>
    <t>白色无机防水涂料PT-02</t>
  </si>
  <si>
    <t>白色高晶板300*600*22mm厚PT-04吊顶</t>
  </si>
  <si>
    <t>1.白色高晶板300*600*22mm厚PT-04；2.60系列上人轻钢龙骨,主龙骨间距900-1200,次龙骨间距300-400mm,Φ8钢筋吊杆；
3.其他：满足设计图纸要求及相关规范、技术要求。</t>
  </si>
  <si>
    <t>白色高晶板600*600*22mm厚PT-03吊顶</t>
  </si>
  <si>
    <t>1.白色高晶板600*600*22mm厚PT-03；2.60系列上人轻钢龙骨,主龙骨间距900-1200,次龙骨间距300-400mm,Φ8钢筋吊杆；
3.其他：满足设计图纸要求及相关规范、技术要求。</t>
  </si>
  <si>
    <t>白色高晶板600*1200PT-04*22mm厚吊顶</t>
  </si>
  <si>
    <t>1.白色高晶板600*1200*22mm厚PT-04；2.60系列上人轻钢龙骨,主龙骨间距900-1200,次龙骨间距300-400mm,Φ8钢筋吊杆；
3.其他：满足设计图纸要求及相关规范、技术要求。</t>
  </si>
  <si>
    <t>墙面刷白色涂料</t>
  </si>
  <si>
    <t>墙砖CT-04</t>
  </si>
  <si>
    <t>1、墙砖600*1200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</si>
  <si>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独立柱墙砖CT-04</t>
  </si>
  <si>
    <t>1、独立柱墙砖600*1200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</si>
  <si>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墙砖CT-06</t>
  </si>
  <si>
    <t>1、墙砖300*600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</si>
  <si>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墙砖CT-05</t>
  </si>
  <si>
    <t>1、墙砖2400*1200
2、基层清理或修补，基层甩毛，瓷砖背面刷界面剂脱膜、满批瓷砖粘结剂、镶贴瓷砖、勾缝、擦缝清理及为完成该项工作的一切工序【综合考虑瓷砖规格，铜丝点挂部位综合考虑在内，不另行计取】
3、其他：满足设计图纸要求及相关规范、技术要求</t>
  </si>
  <si>
    <t>1.750*1800mm；
2.8#镀锌槽钢、50*50*4镀锌角钢；
3.4MM厚不锈钢干挂件，M10*35不锈钢螺栓组；
4.非消防栓需带锁，使用标准拉手，标准支撑，详见图纸或照片；
5.其他：满足设计图纸要求及相关规范、技术要求。</t>
  </si>
  <si>
    <t>金属板MT-03</t>
  </si>
  <si>
    <t>1、清理、弹线、定位、钻孔
2、木龙骨防蛀、防潮、防火、防腐处理
3、木龙骨间300制安
4、木基层防蛀、防潮、防火、防腐处理
5、12厘阻燃板基层
6、科技金属板制安
7、完工清洁、保护</t>
  </si>
  <si>
    <t>独立方柱金属覆膜板MT-02</t>
  </si>
  <si>
    <t>金属覆膜板MT-02</t>
  </si>
  <si>
    <t>主材甲供（包含科技金属板、阻燃板、龙骨），其他所有辅材乙供</t>
  </si>
  <si>
    <t>金属板MT-01</t>
  </si>
  <si>
    <t>1、清理、弹线、定位、钻孔
2、木龙骨防蛀、防潮、防火、防腐处理
3、木龙骨间300制安
4、木基层防蛀、防潮、防火、防腐处理
5、12厘阻燃板基层
6、成品木饰面制安
7、完工清洁、保护</t>
  </si>
  <si>
    <t>瓷砖踢脚线</t>
  </si>
  <si>
    <t>1.地砖CT-01踢脚线，H=100mm；
2.基层清理或修补，基层甩毛，瓷砖背面刷界面剂脱膜、满挂瓷砖粘结剂、镶贴瓷砖、勾缝、擦缝清理及为完成该项工作的一切工序。</t>
  </si>
  <si>
    <t>PVC-03踢脚线</t>
  </si>
  <si>
    <t>1.PVC-03踢脚线，H=100mm；
2.其他：满足设计图纸要求及相关规范、技术要求</t>
  </si>
  <si>
    <t>主材甲供（包含墙地砖、水泥、砂），其他所有辅材乙供</t>
  </si>
  <si>
    <t>1.75系列龙骨；
2.化学螺栓或射钉中距@600；
3.12厚水泥压力板；
4.钢丝网层；
5.其他：满足设计图纸要求及相关规范、技术要求</t>
  </si>
  <si>
    <t>钢化玻璃</t>
  </si>
  <si>
    <t>1、GL-01钢化玻璃
2、其他：满足设计图纸要求及相关规范、技术要求</t>
  </si>
  <si>
    <t>主材甲供（包含钢化玻璃及配件），其他所有辅材乙供</t>
  </si>
  <si>
    <t>挡水石ST-02</t>
  </si>
  <si>
    <t>1.挡水石ST-02；
2.其他：满足设计图纸要求及相关规范、技术要求</t>
  </si>
  <si>
    <t>主材甲供（包含挡水石），其他所有辅材乙供</t>
  </si>
  <si>
    <t>1、吊顶开检修孔；
2、铝合金成品检修口安装</t>
  </si>
  <si>
    <t>按建筑面积</t>
  </si>
  <si>
    <t>水泥灰防滑地砖600*1200CT-01</t>
  </si>
  <si>
    <t>1.水泥灰防滑地砖600*1200CT-01；
2.基层清理、扫素水泥浆、基层砂浆铺贴、瓷砖背面瓷砖胶泥或素水泥浆、瓷砖铺贴、勾缝以及为完成该项工作的一切工序【综合考虑瓷砖规格、铺贴砂浆厚度及配合比】；
3.其他：满足设计图纸要求及相关规范、技术要求。</t>
  </si>
  <si>
    <t>防滑耐磨地砖800*800CT-02</t>
  </si>
  <si>
    <t>1.防滑耐磨地砖800*800CT-02；
2.基层清理、扫素水泥浆、基层砂浆铺贴、瓷砖背面瓷砖胶泥或素水泥浆、瓷砖铺贴、勾缝以及为完成该项工作的一切工序【综合考虑瓷砖规格、铺贴砂浆厚度及配合比】；
3.其他：满足设计图纸要求及相关规范、技术要求。</t>
  </si>
  <si>
    <t>深灰色防滑地砖600*600CT-03</t>
  </si>
  <si>
    <t>1.深灰色防滑地砖600*600CT-03；
2.基层清理、扫素水泥浆、基层砂浆铺贴、瓷砖背面瓷砖胶泥或素水泥浆、瓷砖铺贴、勾缝以及为完成该项工作的一切工序【综合考虑瓷砖规格、铺贴砂浆厚度及配合比】；
3.其他：满足设计图纸要求及相关规范、技术要求。</t>
  </si>
  <si>
    <t>防滑踏步砖800*800CT-08</t>
  </si>
  <si>
    <t>1.防滑踏步砖800*800CT-08楼梯间（防滑槽）；
2.基层清理、扫素水泥浆、基层砂浆铺贴、瓷砖背面瓷砖胶泥或素水泥浆、瓷砖铺贴、勾缝以及为完成该项工作的一切工序【综合考虑瓷砖规格、铺贴砂浆厚度及配合比】；
3.其他：满足设计图纸要求及相关规范、技术要求。</t>
  </si>
  <si>
    <t>银白龙石材-门槛石20mm厚ST-02</t>
  </si>
  <si>
    <t>1.银白龙石材-门槛石20mm厚ST-02；
2.基层清理、扫素水泥浆、基层砂浆铺贴、石材加强布去除、背面石材粘结剂、石材铺贴、勾缝以及为完成该项工作的一切工序【湿贴】；
3.其他：满足设计图纸要求及相关规范、技术要求。</t>
  </si>
  <si>
    <t>选型石材-幕墙窗台石20mm厚ST-03</t>
  </si>
  <si>
    <t>1.选型石材-幕墙窗台石20mm厚ST-03；
2.基层清理、扫素水泥浆、基层砂浆铺贴、石材加强布去除、背面石材粘结剂、石材铺贴、勾缝以及为完成该项工作的一切工序【湿贴】；
3.其他：满足设计图纸要求及相关规范、技术要求。</t>
  </si>
  <si>
    <t>细石混凝土找平层</t>
  </si>
  <si>
    <t>1.C20细石混凝土找平；
2.其他：满足设计图纸要求及相关规范、技术要求。</t>
  </si>
  <si>
    <t>主材甲供（包含细石砼）</t>
  </si>
  <si>
    <t>1.水泥砂浆强度等级1:2.5找平20mm厚；
2.其他：满足设计图纸要求及相关规范、技术要求。</t>
  </si>
  <si>
    <t>1.水泥砂浆强度等级1:2.5找平层 厚度每增减5mm；
2.其他：满足设计图纸要求及相关规范、技术要求。</t>
  </si>
  <si>
    <t>乙供所有材料</t>
  </si>
  <si>
    <t>1.沉箱陶粒回填；
2.其他：满足设计图纸要求及相关规范、技术要求.</t>
  </si>
  <si>
    <r>
      <rPr>
        <sz val="9"/>
        <color theme="1"/>
        <rFont val="宋体"/>
        <charset val="134"/>
        <scheme val="minor"/>
      </rPr>
      <t>m</t>
    </r>
    <r>
      <rPr>
        <vertAlign val="superscript"/>
        <sz val="9"/>
        <color theme="1"/>
        <rFont val="宋体"/>
        <charset val="134"/>
        <scheme val="minor"/>
      </rPr>
      <t>3</t>
    </r>
  </si>
  <si>
    <t>白色高晶板GWB-02吊顶</t>
  </si>
  <si>
    <t>1.白色高晶板300*1200*22mm厚GWB-02；2.60系列上人轻钢龙骨,主龙骨间距900-1200,次龙骨间距300-400mm,Φ8钢筋吊杆；
3.其他：满足设计图纸要求及相关规范、技术要求。</t>
  </si>
  <si>
    <t>穿孔石膏板GWB-03吊顶</t>
  </si>
  <si>
    <t>1.穿孔石膏板12mm厚GWB-03；
2.60系列上人轻钢龙骨,主龙骨间距900-1200,次龙骨间距300-400mm,Φ8钢筋吊杆；
3.其他：满足设计图纸要求及相关规范、技术要求。</t>
  </si>
  <si>
    <t>1.双层石膏板9.5mm厚；
2.60系列上人轻钢龙骨,主龙骨间距900-1200,次龙骨间距300-400mm,Φ8钢筋吊杆；
3.其他：满足设计图纸要求及相关规范、技术要求。</t>
  </si>
  <si>
    <t>主材甲供（包含耐水腻子、石膏板、无机涂料）</t>
  </si>
  <si>
    <t>白色铝方通30*60*0.8mm吊顶</t>
  </si>
  <si>
    <t>1.白色铝方通30*60*0.8mmAL-01；
2.60系列上人轻钢龙骨,主龙骨间距900-1200,次龙骨间距300-400mm,Φ8钢筋吊杆；
3.高差处12厘阻燃板打底、18厘阻燃板；
4.其他：满足设计图纸要求及相关规范、技术要求。</t>
  </si>
  <si>
    <t>主材甲供（包含耐水腻子、抗裂腻子、石膏板、无机涂料、水泥）</t>
  </si>
  <si>
    <t>原顶-深灰色无机涂料PT-02</t>
  </si>
  <si>
    <r>
      <rPr>
        <sz val="9"/>
        <color theme="1"/>
        <rFont val="宋体"/>
        <charset val="134"/>
        <scheme val="minor"/>
      </rPr>
      <t>1.混凝土结构基层剔除模板屑、凿除模板缝漏浆等，涂刷界面剂；</t>
    </r>
    <r>
      <rPr>
        <sz val="9"/>
        <color rgb="FFFF0000"/>
        <rFont val="宋体"/>
        <charset val="134"/>
        <scheme val="minor"/>
      </rPr>
      <t>对于无吊顶有涂料的区域，以原现浇板移交精装单位，需刷素水泥浆一道甩毛；</t>
    </r>
    <r>
      <rPr>
        <sz val="9"/>
        <color theme="1"/>
        <rFont val="宋体"/>
        <charset val="134"/>
        <scheme val="minor"/>
      </rPr>
      <t xml:space="preserve">
2.深灰色无机涂料PT-02(一底、二面漆)；
3.2mm厚耐水腻子分遍找平1遍；
4.3mm厚底基防裂腻子分遍找平2遍；
5.其他：满足设计图纸要求及相关规范、技术要求。</t>
    </r>
  </si>
  <si>
    <t>原顶-深灰色无机涂料PT-02（格栅内）</t>
  </si>
  <si>
    <t>1.L50*50*5热镀锌角钢 @=800mm；
2.L50*50*5热镀锌角钢立杆(与建筑顶板固定)；
3.其他：满足设计图纸要求及相关规范、技术要求。</t>
  </si>
  <si>
    <t>1.细木工板基层，防火处理，面贴单层9.5mm石膏板（不含面层乳胶漆，计入天棚乳胶漆）；
2.其他：满足设计图纸要求及相关规范、技术要求</t>
  </si>
  <si>
    <t>暗藏灯带</t>
  </si>
  <si>
    <t>1.细木工板基层，刷防火涂料二遍；面贴石膏板（不含面层乳胶漆，计入天棚乳胶漆）；
2.其他：满足设计图纸要求及相关规范、技术要求</t>
  </si>
  <si>
    <t>地砖CT-01踢脚线H=100mm</t>
  </si>
  <si>
    <t>粘贴米白色墙砖300*600mmCT-04</t>
  </si>
  <si>
    <t>1.米白色墙砖300*600mmCT-04；
2.基层清理或修补，基层甩毛，瓷砖背面刷界面剂脱膜、镶贴瓷砖、勾缝、瓷砖专用结构胶；
3.阳角收口；
4.其他：满足设计图纸要求及相关规范、技术要求。</t>
  </si>
  <si>
    <t>干挂米黄色墙砖600*1200mmCT-05</t>
  </si>
  <si>
    <r>
      <rPr>
        <sz val="9"/>
        <color rgb="FF000000"/>
        <rFont val="宋体"/>
        <charset val="134"/>
        <scheme val="minor"/>
      </rPr>
      <t>1.米黄色墙砖600*1200mmCT-05；</t>
    </r>
    <r>
      <rPr>
        <sz val="9"/>
        <color rgb="FF000000"/>
        <rFont val="宋体"/>
        <charset val="134"/>
        <scheme val="minor"/>
      </rPr>
      <t xml:space="preserve">
</t>
    </r>
    <r>
      <rPr>
        <sz val="9"/>
        <color rgb="FF000000"/>
        <rFont val="宋体"/>
        <charset val="134"/>
        <scheme val="minor"/>
      </rPr>
      <t>2.8#镀锌槽钢、50*50*4镀锌角钢；</t>
    </r>
    <r>
      <rPr>
        <sz val="9"/>
        <color rgb="FF000000"/>
        <rFont val="宋体"/>
        <charset val="134"/>
        <scheme val="minor"/>
      </rPr>
      <t xml:space="preserve">
</t>
    </r>
    <r>
      <rPr>
        <sz val="9"/>
        <color rgb="FF000000"/>
        <rFont val="宋体"/>
        <charset val="134"/>
        <scheme val="minor"/>
      </rPr>
      <t>3.4MM厚不锈钢干挂件，M10*35不锈钢螺栓组；</t>
    </r>
    <r>
      <rPr>
        <sz val="9"/>
        <color rgb="FF000000"/>
        <rFont val="宋体"/>
        <charset val="134"/>
        <scheme val="minor"/>
      </rPr>
      <t xml:space="preserve">
</t>
    </r>
    <r>
      <rPr>
        <sz val="9"/>
        <color rgb="FF000000"/>
        <rFont val="宋体"/>
        <charset val="134"/>
        <scheme val="minor"/>
      </rPr>
      <t>4.阳角收口；</t>
    </r>
    <r>
      <rPr>
        <sz val="9"/>
        <color rgb="FF000000"/>
        <rFont val="宋体"/>
        <charset val="134"/>
        <scheme val="minor"/>
      </rPr>
      <t xml:space="preserve">
</t>
    </r>
    <r>
      <rPr>
        <sz val="9"/>
        <color rgb="FF000000"/>
        <rFont val="宋体"/>
        <charset val="134"/>
        <scheme val="minor"/>
      </rPr>
      <t>5.其他：满足设计图纸要求及相关规范、技术要求。</t>
    </r>
  </si>
  <si>
    <t>干挂选型石材20mm厚ST-03</t>
  </si>
  <si>
    <t>1.选型石材20mm厚ST-03；
2.墙面钢骨架：8#热镀锌槽钢 @=1000mm、50x50x5mm热浸镀锌角钢，250*250*10热镀锌钢板；
3.4MM厚不锈钢干挂件，M10*35不锈钢螺栓组；
4.阳角收口；
5.其他：满足设计图纸要求及相关规范、技术要求。</t>
  </si>
  <si>
    <t>12mm厚FC冲孔吸音板墙面</t>
  </si>
  <si>
    <t>1.12mm厚FC冲孔吸音板+100厚空腔(填
100nn48K超细玻璃棉)；
2.骨架、夹板基层及预埋件；
3.基层防火处理满足规范要求；
4.其他：满足设计图纸要求及相关规范、技术要求。</t>
  </si>
  <si>
    <t>主材甲供（包含吸音板、龙骨夹板），其他所有辅材乙供</t>
  </si>
  <si>
    <t>成品木饰面5mm厚直木纹WD-01墙面</t>
  </si>
  <si>
    <t>1.成品木饰面5mm厚直木纹WD-01；
2.阳角收口；
3.9厘阻燃板基层，防蛀、防潮、防火、防腐处理；
4.38轻钢覆面龙骨，75国标竖向轻钢龙骨；
5.完工清洁、保护。</t>
  </si>
  <si>
    <t>墙面刷白色无机涂料PT-01</t>
  </si>
  <si>
    <t>1.专用界面剂；
2.内墙腻子、分遍打磨【含阴阳角成品线条，成膜厚度满足要求】；
3.基层清理，乳胶漆一底两面，成膜厚度满足要求。</t>
  </si>
  <si>
    <t>主材甲供（包含腻子、无机涂料），其他所有辅材辅材乙供</t>
  </si>
  <si>
    <t>墙面刷深灰色无机涂料PT-02</t>
  </si>
  <si>
    <t>暗装明门消火栓</t>
  </si>
  <si>
    <t>1.75系列龙骨；
2.化学螺栓或射钉中距@600；
3.12厚水泥压力板；
4.钢丝网层；
5.其他：满足设计图纸要求及相关规范、技术要求。</t>
  </si>
  <si>
    <t>公共区域包水管</t>
  </si>
  <si>
    <t>1.75系列龙骨；
2.化学螺栓或射钉中距@600；
3.18厚阻燃板基层；
4.8厚水泥板面层；
5.其他：满足设计图纸要求及相关规范、技术要求。</t>
  </si>
  <si>
    <t>游泳馆</t>
  </si>
  <si>
    <t>地面</t>
  </si>
  <si>
    <t>防滑瓷砖
300*600CT-01</t>
  </si>
  <si>
    <t>1.防滑瓷砖300*600CT-01；
2.基层清理、扫素水泥浆、基层砂浆铺贴、瓷砖背面瓷砖胶泥或素水泥浆、瓷砖铺贴、勾缝以及为完成该项工作的一切工序【综合考虑瓷砖规格、铺贴砂浆厚度及配合比】；
3.其他：满足设计图纸要求及相关规范、技术要求。</t>
  </si>
  <si>
    <t>防滑瓷砖（耐磨）
150*600CT-02</t>
  </si>
  <si>
    <t>1.防滑瓷砖（耐磨）150*600CT-02；
2.基层清理、扫素水泥浆、基层砂浆铺贴、瓷砖背面瓷砖胶泥或素水泥浆、瓷砖铺贴、勾缝以及为完成该项工作的一切工序【综合考虑瓷砖规格、铺贴砂浆厚度及配合比】；
3.其他：满足设计图纸要求及相关规范、技术要求。</t>
  </si>
  <si>
    <t>浅蓝色马赛克砖
CT-03</t>
  </si>
  <si>
    <t>1.浅蓝色马赛克砖CT-03；
2.基层清理、扫素水泥浆、基层砂浆铺贴、瓷砖背面瓷砖胶泥或素水泥浆、瓷砖铺贴、勾缝以及为完成该项工作的一切工序【综合考虑瓷砖规格、铺贴砂浆厚度及配合比】；
3.其他：满足设计图纸要求及相关规范、技术要求。</t>
  </si>
  <si>
    <t>蓝色马赛克砖
CT-04</t>
  </si>
  <si>
    <t>1.蓝色马赛克砖CT-04；
2.基层清理、扫素水泥浆、基层砂浆铺贴、瓷砖背面瓷砖胶泥或素水泥浆、瓷砖铺贴、勾缝以及为完成该项工作的一切工序【综合考虑瓷砖规格、铺贴砂浆厚度及配合比】；
3.其他：满足设计图纸要求及相关规范、技术要求。</t>
  </si>
  <si>
    <t>防滑瓷砖
800*800CT-05</t>
  </si>
  <si>
    <t>1.防滑瓷砖800*800CT-05；
2.基层清理、扫素水泥浆、基层砂浆铺贴、瓷砖背面瓷砖胶泥或素水泥浆、瓷砖铺贴、勾缝以及为完成该项工作的一切工序【综合考虑瓷砖规格、铺贴砂浆厚度及配合比】；
3.其他：满足设计图纸要求及相关规范、技术要求。</t>
  </si>
  <si>
    <t>防滑瓷砖
800*800CT-06</t>
  </si>
  <si>
    <t>1.防滑瓷砖800*800CT-06；
2.基层清理、扫素水泥浆、基层砂浆铺贴、瓷砖背面瓷砖胶泥或素水泥浆、瓷砖铺贴、勾缝以及为完成该项工作的一切工序【综合考虑瓷砖规格、铺贴砂浆厚度及配合比】；
3.其他：满足设计图纸要求及相关规范、技术要求。</t>
  </si>
  <si>
    <t>防滑瓷砖
600*1200CT-07</t>
  </si>
  <si>
    <t>1.防滑瓷砖600*1200CT-07；
2.基层清理、扫素水泥浆、基层砂浆铺贴、瓷砖背面瓷砖胶泥或素水泥浆、瓷砖铺贴、勾缝以及为完成该项工作的一切工序【综合考虑瓷砖规格、铺贴砂浆厚度及配合比】；
3.其他：满足设计图纸要求及相关规范、技术要求。</t>
  </si>
  <si>
    <t>防滑瓷砖
600*600（管井）</t>
  </si>
  <si>
    <t>1.防滑瓷砖600*600（管井）；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</si>
  <si>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主材甲供（包含墙石材、溢胶泥、水泥、砂），其他所有辅材乙供</t>
  </si>
  <si>
    <t>池岸排水沟防滑瓷砖
300*600CT-01</t>
  </si>
  <si>
    <t>1.池岸排水沟防滑瓷砖300*600CT-01；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</si>
  <si>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主材甲供（包含墙瓷砖、溢胶泥、水泥、砂），其他所有辅材乙供</t>
  </si>
  <si>
    <t>溢流回水沟防滑瓷砖
300*600CT-01</t>
  </si>
  <si>
    <t>1.溢流回水沟防滑瓷砖300*600CT-01；
2.基层清理、扫素水泥浆、基层砂浆铺贴、瓷砖背面瓷砖胶泥或素水泥浆、瓷砖铺贴、勾缝以及为完成该项工作的一切工序【综合考虑瓷砖规格、铺贴砂浆厚度及配合比】；
3.其他：满足设计图纸要求及相关规范、技术要求。</t>
  </si>
  <si>
    <t>主材甲供（包含瓷砖、溢胶泥、水泥、砂），其他所有辅材乙供</t>
  </si>
  <si>
    <t>天棚</t>
  </si>
  <si>
    <t>1.白色无机涂料PT-01(一底、二面漆)；
2.9.5mm厚双层纸面石膏板；
3.60系列上人轻钢龙骨,主龙骨间距900-1200,次龙骨间距 300-400mm,Φ8钢筋吊杆,(所有钢结构为热镀锌处理(不锈钢除外),吊筋间距≤1200mm(间距大于1200mm或高度大于 1500mm设反撑)；
4.其他：满足设计图纸要求及相关规范、技术要求。</t>
  </si>
  <si>
    <t>主材甲供（包含石膏板、轻钢龙骨整套、无机涂料），其他所有辅材辅材乙供</t>
  </si>
  <si>
    <r>
      <rPr>
        <sz val="10"/>
        <color theme="1"/>
        <rFont val="宋体"/>
        <charset val="134"/>
        <scheme val="minor"/>
      </rPr>
      <t>1.混凝土结构基层剔除模板屑、凿除模板缝漏浆等，涂刷界面剂；</t>
    </r>
    <r>
      <rPr>
        <sz val="10"/>
        <color rgb="FFFF0000"/>
        <rFont val="宋体"/>
        <charset val="134"/>
        <scheme val="minor"/>
      </rPr>
      <t>对于无吊顶有涂料的区域，以原现浇板移交精装单位，需刷素水泥浆一道甩毛；</t>
    </r>
    <r>
      <rPr>
        <sz val="10"/>
        <color theme="1"/>
        <rFont val="宋体"/>
        <charset val="134"/>
        <scheme val="minor"/>
      </rPr>
      <t xml:space="preserve">
2.深灰色无机涂料PT-02(一底、二面漆)；
3.2mm厚耐水腻子分遍找平1遍；
4.3mm厚底基防裂腻子分遍找平2遍；
5.其他：满足设计图纸要求及相关规范、技术要求。</t>
    </r>
  </si>
  <si>
    <t>主材甲供（包含轻钢龙骨整套、无机涂料、耐水腻子、抗裂腻子、水泥），其他所有辅材乙供</t>
  </si>
  <si>
    <t>白色铝方通
50*80*0.8mmAL-02</t>
  </si>
  <si>
    <t>1.白色铝方通50*80*0.8mmAL-02；
2.卡式轻钢龙骨,Φ8钢筋吊杆；
3.其他：满足设计图纸要求及相关规范、技术要求。</t>
  </si>
  <si>
    <t>墙面</t>
  </si>
  <si>
    <t>白色无机涂料</t>
  </si>
  <si>
    <t>1、刷内墙无机涂料PT-01(2遍)；
2、满刮无机涂料专用配套耐水腻子(2遍)；
3、基层清理，刷素水泥浆一道甩毛(内掺建筑胶)；
4、其他：满足设计图纸要求及相关规范、技术要求。</t>
  </si>
  <si>
    <t>深灰色防水无机涂料</t>
  </si>
  <si>
    <t>1、刷内墙无机涂料PT-02(2遍)；
2、满刮无机涂料专用配套耐水腻子(2遍)；
3、基层清理，刷素水泥浆一道甩毛(内掺建筑胶)；
4、其他：满足设计图纸要求及相关规范、技术要求。</t>
  </si>
  <si>
    <t>干挂墙砖
300*600CT-01</t>
  </si>
  <si>
    <t>1.墙砖300*600CT-01；
2.8#镀锌槽钢、50*50*4镀锌角钢；
3.4MM厚不锈钢干挂件，M10*35不锈钢螺栓组；
4.基层清理或修补，基层甩毛，瓷砖背面刷界面剂脱膜、满批瓷砖粘结剂、镶贴瓷砖、勾缝、擦缝清理及为完成该项工作的一切工序；
5.阳角收口；
6.其他：满足设计图纸要求及相关规范、技术要求。</t>
  </si>
  <si>
    <t>1.泳池内部墙面浅蓝色马赛克砖CT-03；
2.基层清理或修补，基层甩毛，瓷砖背面刷界面剂脱膜、满批瓷砖粘结剂、镶贴瓷砖、勾缝、擦缝清理及为完成该项工作的一切工序【综合考虑瓷砖规格，铜丝点挂部位综合考虑在内，不另行计取】；
3.阳角收口；
4.其他：满足设计图纸要求及相关规范、技术要求。</t>
  </si>
  <si>
    <t>主材甲供（包含马赛克砖、水泥、砂），其他所有辅材乙供</t>
  </si>
  <si>
    <t>干挂浅灰色墙砖
600*1200CT-08</t>
  </si>
  <si>
    <t>1.浅灰色墙砖600*1200mmCT-08；
2.8#镀锌槽钢、50*50*4镀锌角钢；
3.4MM厚不锈钢干挂件，M10*35不锈钢螺栓组；
4.基层清理或修补，基层甩毛，瓷砖背面刷界面剂脱膜、满批瓷砖粘结剂、镶贴瓷砖、勾缝、擦缝清理及为完成该项工作的一切工序；
5.阳角收口；
6.其他：满足设计图纸要求及相关规范、技术要求。</t>
  </si>
  <si>
    <t>干挂深灰色墙砖
400*800CT-09</t>
  </si>
  <si>
    <t>1.深灰色墙砖400*800CT-09；
2.8#镀锌槽钢、50*50*4镀锌角钢；
3.4MM厚不锈钢干挂件，M10*35不锈钢螺栓组；
4.基层清理或修补，基层甩毛，瓷砖背面刷界面剂脱膜、满批瓷砖粘结剂、镶贴瓷砖、勾缝、擦缝清理及为完成该项工作的一切工序；
5.阳角收口；
6.其他：满足设计图纸要求及相关规范、技术要求。</t>
  </si>
  <si>
    <t>深灰色瓷砖
400*800CT-09</t>
  </si>
  <si>
    <t>1.深灰色瓷砖400*800CT-09；
2.基层清理或修补，基层甩毛，瓷砖背面刷界面剂脱膜、满批瓷砖粘结剂、镶贴瓷砖、勾缝、擦缝清理及为完成该项工作的一切工序【综合考虑瓷砖规格，铜丝点挂部位综合考虑在内，不另行计取】；
3.阳角收口；
4.其他：满足设计图纸要求及相关规范、技术要求。</t>
  </si>
  <si>
    <t>主材甲供（包含墙砖、溢胶泥），其他所有辅材乙供</t>
  </si>
  <si>
    <t>马赛克砖
CT-10</t>
  </si>
  <si>
    <t>1.马赛克砖CT-10；
2.基层清理或修补，基层甩毛，瓷砖背面刷界面剂脱膜、满批瓷砖粘结剂、镶贴瓷砖、勾缝、擦缝清理及为完成该项工作的一切工序【综合考虑瓷砖规格，铜丝点挂部位综合考虑在内，不另行计取】；
3.阳角收口；
4.其他：满足设计图纸要求及相关规范、技术要求。</t>
  </si>
  <si>
    <t>地砖CT-06踢脚线
H=80mm</t>
  </si>
  <si>
    <t>1.地砖CT-06踢脚线，H=80mm；
2.基层清理或修补，基层甩毛，瓷砖背面刷界面剂脱膜、满挂瓷砖粘结剂、镶贴瓷砖、勾缝、擦缝清理及为完成该项工作的一切工序。</t>
  </si>
  <si>
    <t>主材甲供（包含瓷砖、水泥、砂），其他所有辅材乙供</t>
  </si>
  <si>
    <t>包水管</t>
  </si>
  <si>
    <t>1.75系列龙骨；
2.化学螺栓或射钉中距@600；
3.18厚阻燃板基层；
4.8厚水泥板面层；
5.其他：满足设计图纸要求及相关规范、技术要求</t>
  </si>
  <si>
    <t>垃圾清运，工完场清；</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</si>
</sst>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Red]\-0.00\ "/>
    <numFmt numFmtId="177" formatCode="0.00_ "/>
    <numFmt numFmtId="178" formatCode="0.00_);[Red]\(0.00\)"/>
    <numFmt numFmtId="179" formatCode="_([$€-2]* #,##0.00_);_([$€-2]* \(#,##0.00\);_([$€-2]* &quot;-&quot;??_)"/>
    <numFmt numFmtId="180" formatCode="[DBNum1][$-804]General"/>
  </numFmts>
  <fonts count="76">
    <font>
      <sz val="11"/>
      <color theme="1"/>
      <name val="宋体"/>
      <charset val="134"/>
      <scheme val="minor"/>
    </font>
    <font>
      <sz val="12"/>
      <color theme="1"/>
      <name val="宋体"/>
      <charset val="134"/>
      <scheme val="minor"/>
    </font>
    <font>
      <sz val="9"/>
      <color theme="1"/>
      <name val="宋体"/>
      <charset val="134"/>
      <scheme val="minor"/>
    </font>
    <font>
      <b/>
      <sz val="16"/>
      <color theme="1"/>
      <name val="宋体"/>
      <charset val="134"/>
      <scheme val="minor"/>
    </font>
    <font>
      <b/>
      <sz val="11"/>
      <color indexed="8"/>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rgb="FF000000"/>
      <name val="宋体"/>
      <charset val="134"/>
    </font>
    <font>
      <sz val="9"/>
      <name val="宋体"/>
      <charset val="134"/>
      <scheme val="minor"/>
    </font>
    <font>
      <sz val="9"/>
      <color rgb="FF000000"/>
      <name val="宋体"/>
      <charset val="134"/>
    </font>
    <font>
      <sz val="9"/>
      <color indexed="8"/>
      <name val="宋体"/>
      <charset val="134"/>
      <scheme val="minor"/>
    </font>
    <font>
      <b/>
      <sz val="10"/>
      <name val="宋体"/>
      <charset val="134"/>
      <scheme val="minor"/>
    </font>
    <font>
      <sz val="8"/>
      <color rgb="FF000000"/>
      <name val="宋体"/>
      <charset val="134"/>
    </font>
    <font>
      <b/>
      <sz val="10"/>
      <color indexed="8"/>
      <name val="宋体"/>
      <charset val="134"/>
      <scheme val="minor"/>
    </font>
    <font>
      <sz val="8"/>
      <color theme="1"/>
      <name val="宋体"/>
      <charset val="134"/>
      <scheme val="minor"/>
    </font>
    <font>
      <b/>
      <sz val="12"/>
      <color theme="1"/>
      <name val="宋体"/>
      <charset val="134"/>
      <scheme val="minor"/>
    </font>
    <font>
      <b/>
      <sz val="9"/>
      <color indexed="8"/>
      <name val="宋体"/>
      <charset val="134"/>
    </font>
    <font>
      <sz val="9"/>
      <color rgb="FF000000"/>
      <name val="宋体"/>
      <charset val="134"/>
      <scheme val="minor"/>
    </font>
    <font>
      <sz val="9"/>
      <name val="宋体"/>
      <charset val="134"/>
    </font>
    <font>
      <b/>
      <sz val="9"/>
      <name val="宋体"/>
      <charset val="134"/>
      <scheme val="minor"/>
    </font>
    <font>
      <b/>
      <sz val="8"/>
      <color theme="1"/>
      <name val="宋体"/>
      <charset val="134"/>
      <scheme val="minor"/>
    </font>
    <font>
      <b/>
      <sz val="8"/>
      <color indexed="8"/>
      <name val="宋体"/>
      <charset val="134"/>
    </font>
    <font>
      <sz val="8"/>
      <color indexed="8"/>
      <name val="宋体"/>
      <charset val="134"/>
      <scheme val="minor"/>
    </font>
    <font>
      <b/>
      <sz val="8"/>
      <color rgb="FF000000"/>
      <name val="宋体"/>
      <charset val="134"/>
      <scheme val="minor"/>
    </font>
    <font>
      <b/>
      <sz val="9"/>
      <color indexed="8"/>
      <name val="宋体"/>
      <charset val="134"/>
      <scheme val="minor"/>
    </font>
    <font>
      <sz val="9"/>
      <color rgb="FFFF0000"/>
      <name val="宋体"/>
      <charset val="134"/>
      <scheme val="minor"/>
    </font>
    <font>
      <sz val="9"/>
      <color rgb="FFFF0000"/>
      <name val="宋体"/>
      <charset val="134"/>
    </font>
    <font>
      <sz val="11"/>
      <color indexed="8"/>
      <name val="宋体"/>
      <charset val="134"/>
    </font>
    <font>
      <b/>
      <sz val="14"/>
      <name val="宋体"/>
      <charset val="134"/>
    </font>
    <font>
      <u/>
      <sz val="11"/>
      <color theme="10"/>
      <name val="宋体"/>
      <charset val="134"/>
    </font>
    <font>
      <sz val="10"/>
      <name val="宋体"/>
      <charset val="134"/>
    </font>
    <font>
      <b/>
      <sz val="11"/>
      <color theme="1"/>
      <name val="宋体"/>
      <charset val="134"/>
      <scheme val="minor"/>
    </font>
    <font>
      <b/>
      <sz val="14"/>
      <color theme="1"/>
      <name val="宋体"/>
      <charset val="134"/>
      <scheme val="minor"/>
    </font>
    <font>
      <sz val="10"/>
      <color theme="1"/>
      <name val="宋体"/>
      <charset val="134"/>
    </font>
    <font>
      <b/>
      <sz val="10"/>
      <color theme="1"/>
      <name val="宋体"/>
      <charset val="134"/>
      <scheme val="minor"/>
    </font>
    <font>
      <sz val="11"/>
      <name val="宋体"/>
      <charset val="134"/>
      <scheme val="minor"/>
    </font>
    <font>
      <b/>
      <sz val="11"/>
      <name val="宋体"/>
      <charset val="134"/>
      <scheme val="minor"/>
    </font>
    <font>
      <b/>
      <sz val="14"/>
      <name val="宋体"/>
      <charset val="134"/>
      <scheme val="minor"/>
    </font>
    <font>
      <sz val="11"/>
      <color rgb="FFFF0000"/>
      <name val="宋体"/>
      <charset val="134"/>
      <scheme val="minor"/>
    </font>
    <font>
      <b/>
      <sz val="9"/>
      <color rgb="FFFF0000"/>
      <name val="宋体"/>
      <charset val="134"/>
    </font>
    <font>
      <b/>
      <sz val="16"/>
      <color indexed="8"/>
      <name val="宋体"/>
      <charset val="134"/>
    </font>
    <font>
      <b/>
      <sz val="12"/>
      <color indexed="8"/>
      <name val="宋体"/>
      <charset val="134"/>
    </font>
    <font>
      <sz val="9"/>
      <color indexed="8"/>
      <name val="宋体"/>
      <charset val="134"/>
    </font>
    <font>
      <sz val="10"/>
      <color indexed="8"/>
      <name val="宋体"/>
      <charset val="134"/>
    </font>
    <font>
      <b/>
      <sz val="12"/>
      <name val="宋体"/>
      <charset val="134"/>
    </font>
    <font>
      <sz val="11"/>
      <color theme="1"/>
      <name val="宋体"/>
      <charset val="0"/>
      <scheme val="minor"/>
    </font>
    <font>
      <sz val="12"/>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name val="Helv"/>
      <charset val="134"/>
    </font>
    <font>
      <sz val="10"/>
      <color rgb="FFFF0000"/>
      <name val="宋体"/>
      <charset val="134"/>
      <scheme val="minor"/>
    </font>
    <font>
      <vertAlign val="superscript"/>
      <sz val="9"/>
      <color theme="1"/>
      <name val="宋体"/>
      <charset val="134"/>
      <scheme val="minor"/>
    </font>
    <font>
      <sz val="10"/>
      <color rgb="FFFF0000"/>
      <name val="宋体"/>
      <charset val="134"/>
    </font>
    <font>
      <b/>
      <sz val="9"/>
      <name val="宋体"/>
      <charset val="134"/>
    </font>
    <font>
      <b/>
      <sz val="9"/>
      <name val="宋体"/>
      <charset val="134"/>
    </font>
    <font>
      <sz val="9"/>
      <name val="宋体"/>
      <charset val="134"/>
    </font>
    <font>
      <sz val="14"/>
      <name val="宋体"/>
      <charset val="134"/>
    </font>
    <font>
      <sz val="12"/>
      <name val="宋体"/>
      <charset val="134"/>
    </font>
  </fonts>
  <fills count="48">
    <fill>
      <patternFill patternType="none"/>
    </fill>
    <fill>
      <patternFill patternType="gray125"/>
    </fill>
    <fill>
      <patternFill patternType="solid">
        <fgColor theme="9" tint="0.599993896298105"/>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
      <patternFill patternType="solid">
        <fgColor theme="8" tint="0.799890133365886"/>
        <bgColor indexed="64"/>
      </patternFill>
    </fill>
    <fill>
      <patternFill patternType="solid">
        <fgColor theme="9" tint="0.799890133365886"/>
        <bgColor indexed="64"/>
      </patternFill>
    </fill>
    <fill>
      <patternFill patternType="solid">
        <fgColor theme="5" tint="0.799890133365886"/>
        <bgColor indexed="64"/>
      </patternFill>
    </fill>
    <fill>
      <patternFill patternType="solid">
        <fgColor theme="4" tint="0.799890133365886"/>
        <bgColor indexed="64"/>
      </patternFill>
    </fill>
    <fill>
      <patternFill patternType="solid">
        <fgColor rgb="FF00B050"/>
        <bgColor indexed="64"/>
      </patternFill>
    </fill>
    <fill>
      <patternFill patternType="solid">
        <fgColor indexed="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0" tint="-0.0499893185216834"/>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rgb="FFFFFFFF"/>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46" fillId="18" borderId="0" applyNumberFormat="0" applyBorder="0" applyAlignment="0" applyProtection="0">
      <alignment vertical="center"/>
    </xf>
    <xf numFmtId="0" fontId="47" fillId="0" borderId="0" applyProtection="0"/>
    <xf numFmtId="0" fontId="48" fillId="24" borderId="12" applyNumberFormat="0" applyAlignment="0" applyProtection="0">
      <alignment vertical="center"/>
    </xf>
    <xf numFmtId="44" fontId="0" fillId="0" borderId="0" applyFont="0" applyFill="0" applyBorder="0" applyAlignment="0" applyProtection="0">
      <alignment vertical="center"/>
    </xf>
    <xf numFmtId="0" fontId="47" fillId="0" borderId="0">
      <alignment vertical="center"/>
    </xf>
    <xf numFmtId="41" fontId="0" fillId="0" borderId="0" applyFont="0" applyFill="0" applyBorder="0" applyAlignment="0" applyProtection="0">
      <alignment vertical="center"/>
    </xf>
    <xf numFmtId="0" fontId="46" fillId="25" borderId="0" applyNumberFormat="0" applyBorder="0" applyAlignment="0" applyProtection="0">
      <alignment vertical="center"/>
    </xf>
    <xf numFmtId="0" fontId="49" fillId="26" borderId="0" applyNumberFormat="0" applyBorder="0" applyAlignment="0" applyProtection="0">
      <alignment vertical="center"/>
    </xf>
    <xf numFmtId="43" fontId="0" fillId="0" borderId="0" applyFont="0" applyFill="0" applyBorder="0" applyAlignment="0" applyProtection="0">
      <alignment vertical="center"/>
    </xf>
    <xf numFmtId="0" fontId="50" fillId="27"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28" borderId="13" applyNumberFormat="0" applyFont="0" applyAlignment="0" applyProtection="0">
      <alignment vertical="center"/>
    </xf>
    <xf numFmtId="0" fontId="45" fillId="0" borderId="0" applyNumberFormat="0" applyFill="0" applyBorder="0" applyAlignment="0" applyProtection="0"/>
    <xf numFmtId="0" fontId="50"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14" applyNumberFormat="0" applyFill="0" applyAlignment="0" applyProtection="0">
      <alignment vertical="center"/>
    </xf>
    <xf numFmtId="0" fontId="58" fillId="0" borderId="14" applyNumberFormat="0" applyFill="0" applyAlignment="0" applyProtection="0">
      <alignment vertical="center"/>
    </xf>
    <xf numFmtId="0" fontId="50" fillId="30" borderId="0" applyNumberFormat="0" applyBorder="0" applyAlignment="0" applyProtection="0">
      <alignment vertical="center"/>
    </xf>
    <xf numFmtId="0" fontId="53" fillId="0" borderId="15" applyNumberFormat="0" applyFill="0" applyAlignment="0" applyProtection="0">
      <alignment vertical="center"/>
    </xf>
    <xf numFmtId="0" fontId="47" fillId="0" borderId="0"/>
    <xf numFmtId="0" fontId="50" fillId="31" borderId="0" applyNumberFormat="0" applyBorder="0" applyAlignment="0" applyProtection="0">
      <alignment vertical="center"/>
    </xf>
    <xf numFmtId="0" fontId="59" fillId="32" borderId="16" applyNumberFormat="0" applyAlignment="0" applyProtection="0">
      <alignment vertical="center"/>
    </xf>
    <xf numFmtId="0" fontId="60" fillId="32" borderId="12" applyNumberFormat="0" applyAlignment="0" applyProtection="0">
      <alignment vertical="center"/>
    </xf>
    <xf numFmtId="0" fontId="43" fillId="0" borderId="0"/>
    <xf numFmtId="0" fontId="61" fillId="33" borderId="17" applyNumberFormat="0" applyAlignment="0" applyProtection="0">
      <alignment vertical="center"/>
    </xf>
    <xf numFmtId="0" fontId="46" fillId="19" borderId="0" applyNumberFormat="0" applyBorder="0" applyAlignment="0" applyProtection="0">
      <alignment vertical="center"/>
    </xf>
    <xf numFmtId="0" fontId="50" fillId="34" borderId="0" applyNumberFormat="0" applyBorder="0" applyAlignment="0" applyProtection="0">
      <alignment vertical="center"/>
    </xf>
    <xf numFmtId="0" fontId="62" fillId="0" borderId="18" applyNumberFormat="0" applyFill="0" applyAlignment="0" applyProtection="0">
      <alignment vertical="center"/>
    </xf>
    <xf numFmtId="0" fontId="63" fillId="0" borderId="19" applyNumberFormat="0" applyFill="0" applyAlignment="0" applyProtection="0">
      <alignment vertical="center"/>
    </xf>
    <xf numFmtId="0" fontId="64" fillId="35" borderId="0" applyNumberFormat="0" applyBorder="0" applyAlignment="0" applyProtection="0">
      <alignment vertical="center"/>
    </xf>
    <xf numFmtId="0" fontId="65" fillId="36" borderId="0" applyNumberFormat="0" applyBorder="0" applyAlignment="0" applyProtection="0">
      <alignment vertical="center"/>
    </xf>
    <xf numFmtId="0" fontId="46" fillId="37" borderId="0" applyNumberFormat="0" applyBorder="0" applyAlignment="0" applyProtection="0">
      <alignment vertical="center"/>
    </xf>
    <xf numFmtId="0" fontId="50" fillId="38" borderId="0" applyNumberFormat="0" applyBorder="0" applyAlignment="0" applyProtection="0">
      <alignment vertical="center"/>
    </xf>
    <xf numFmtId="0" fontId="2" fillId="0" borderId="0"/>
    <xf numFmtId="0" fontId="46" fillId="17" borderId="0" applyNumberFormat="0" applyBorder="0" applyAlignment="0" applyProtection="0">
      <alignment vertical="center"/>
    </xf>
    <xf numFmtId="0" fontId="46" fillId="39"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50" fillId="21" borderId="0" applyNumberFormat="0" applyBorder="0" applyAlignment="0" applyProtection="0">
      <alignment vertical="center"/>
    </xf>
    <xf numFmtId="0" fontId="50" fillId="42" borderId="0" applyNumberFormat="0" applyBorder="0" applyAlignment="0" applyProtection="0">
      <alignment vertical="center"/>
    </xf>
    <xf numFmtId="0" fontId="46" fillId="23" borderId="0" applyNumberFormat="0" applyBorder="0" applyAlignment="0" applyProtection="0">
      <alignment vertical="center"/>
    </xf>
    <xf numFmtId="0" fontId="46" fillId="43" borderId="0" applyNumberFormat="0" applyBorder="0" applyAlignment="0" applyProtection="0">
      <alignment vertical="center"/>
    </xf>
    <xf numFmtId="0" fontId="50" fillId="44" borderId="0" applyNumberFormat="0" applyBorder="0" applyAlignment="0" applyProtection="0">
      <alignment vertical="center"/>
    </xf>
    <xf numFmtId="0" fontId="66" fillId="0" borderId="0"/>
    <xf numFmtId="0" fontId="46" fillId="20" borderId="0" applyNumberFormat="0" applyBorder="0" applyAlignment="0" applyProtection="0">
      <alignment vertical="center"/>
    </xf>
    <xf numFmtId="0" fontId="50" fillId="45" borderId="0" applyNumberFormat="0" applyBorder="0" applyAlignment="0" applyProtection="0">
      <alignment vertical="center"/>
    </xf>
    <xf numFmtId="0" fontId="18" fillId="46" borderId="0">
      <alignment horizontal="left" vertical="center" wrapText="1"/>
    </xf>
    <xf numFmtId="0" fontId="50" fillId="9" borderId="0" applyNumberFormat="0" applyBorder="0" applyAlignment="0" applyProtection="0">
      <alignment vertical="center"/>
    </xf>
    <xf numFmtId="0" fontId="47" fillId="0" borderId="0"/>
    <xf numFmtId="0" fontId="46" fillId="2" borderId="0" applyNumberFormat="0" applyBorder="0" applyAlignment="0" applyProtection="0">
      <alignment vertical="center"/>
    </xf>
    <xf numFmtId="0" fontId="50" fillId="47" borderId="0" applyNumberFormat="0" applyBorder="0" applyAlignment="0" applyProtection="0">
      <alignment vertical="center"/>
    </xf>
    <xf numFmtId="0" fontId="2" fillId="0" borderId="0"/>
    <xf numFmtId="0" fontId="28" fillId="0" borderId="0">
      <alignment vertical="center"/>
    </xf>
    <xf numFmtId="0" fontId="28" fillId="0" borderId="0">
      <alignment vertical="center"/>
    </xf>
    <xf numFmtId="0" fontId="28" fillId="0" borderId="0">
      <alignment vertical="center"/>
    </xf>
    <xf numFmtId="0" fontId="47" fillId="0" borderId="0" applyProtection="0"/>
    <xf numFmtId="0" fontId="47" fillId="0" borderId="0"/>
    <xf numFmtId="0" fontId="0" fillId="0" borderId="0">
      <alignment vertical="center"/>
    </xf>
    <xf numFmtId="0" fontId="43" fillId="0" borderId="0"/>
    <xf numFmtId="0" fontId="47" fillId="0" borderId="0"/>
    <xf numFmtId="0" fontId="43" fillId="0" borderId="0"/>
    <xf numFmtId="0" fontId="47" fillId="0" borderId="0">
      <alignment vertical="center"/>
    </xf>
    <xf numFmtId="0" fontId="67" fillId="0" borderId="0" applyProtection="0"/>
    <xf numFmtId="0" fontId="67" fillId="0" borderId="0"/>
    <xf numFmtId="0" fontId="67" fillId="0" borderId="0"/>
    <xf numFmtId="0" fontId="47" fillId="0" borderId="0" applyProtection="0"/>
    <xf numFmtId="0" fontId="47" fillId="0" borderId="0" applyProtection="0">
      <alignment vertical="center"/>
    </xf>
    <xf numFmtId="0" fontId="47" fillId="0" borderId="0" applyProtection="0">
      <alignment vertical="center"/>
    </xf>
    <xf numFmtId="0" fontId="47" fillId="0" borderId="0">
      <alignment vertical="center"/>
    </xf>
  </cellStyleXfs>
  <cellXfs count="498">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69" applyNumberFormat="1" applyFont="1" applyFill="1" applyBorder="1" applyAlignment="1" applyProtection="1">
      <alignment horizontal="center" vertical="center" wrapText="1"/>
    </xf>
    <xf numFmtId="0" fontId="6" fillId="0" borderId="1" xfId="67"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5" fillId="0" borderId="1" xfId="69" applyFont="1" applyFill="1" applyBorder="1" applyAlignment="1">
      <alignment horizontal="center" vertical="center" wrapText="1"/>
    </xf>
    <xf numFmtId="177" fontId="7" fillId="0" borderId="1" xfId="62" applyNumberFormat="1" applyFont="1" applyFill="1" applyBorder="1" applyAlignment="1" applyProtection="1">
      <alignment horizontal="center" vertical="center" wrapText="1"/>
    </xf>
    <xf numFmtId="0" fontId="8" fillId="0" borderId="1" xfId="67" applyFont="1" applyFill="1" applyBorder="1" applyAlignment="1" applyProtection="1">
      <alignment horizontal="left" vertical="center" wrapText="1"/>
    </xf>
    <xf numFmtId="0" fontId="6" fillId="0" borderId="1" xfId="67"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60" applyNumberFormat="1" applyFont="1" applyFill="1" applyBorder="1" applyAlignment="1">
      <alignment horizontal="center" vertical="center" wrapText="1" shrinkToFit="1"/>
    </xf>
    <xf numFmtId="0" fontId="6" fillId="0" borderId="1" xfId="0" applyFont="1" applyFill="1" applyBorder="1" applyAlignment="1" applyProtection="1">
      <alignment horizontal="left" vertical="center" wrapText="1"/>
    </xf>
    <xf numFmtId="0" fontId="6" fillId="0" borderId="1" xfId="51" applyFont="1" applyFill="1" applyBorder="1" applyAlignment="1" applyProtection="1">
      <alignment horizontal="left" vertical="center" wrapText="1"/>
    </xf>
    <xf numFmtId="178" fontId="7" fillId="0" borderId="1" xfId="62" applyNumberFormat="1" applyFont="1" applyFill="1" applyBorder="1" applyAlignment="1" applyProtection="1">
      <alignment horizontal="center" vertical="center" wrapText="1"/>
    </xf>
    <xf numFmtId="0" fontId="9" fillId="0" borderId="1" xfId="69"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10" fillId="0" borderId="1" xfId="67"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7" fontId="11" fillId="0" borderId="1" xfId="62" applyNumberFormat="1" applyFont="1" applyFill="1" applyBorder="1" applyAlignment="1" applyProtection="1">
      <alignment horizontal="center" vertical="center" wrapText="1"/>
    </xf>
    <xf numFmtId="2" fontId="6" fillId="0" borderId="1" xfId="0" applyNumberFormat="1" applyFont="1" applyFill="1" applyBorder="1" applyAlignment="1" applyProtection="1">
      <alignment horizontal="left" vertical="center" wrapText="1"/>
    </xf>
    <xf numFmtId="179" fontId="6" fillId="0" borderId="1" xfId="26"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77" fontId="4"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3" fillId="0" borderId="1" xfId="62" applyNumberFormat="1" applyFont="1" applyFill="1" applyBorder="1" applyAlignment="1" applyProtection="1">
      <alignment horizontal="left" vertical="center" wrapText="1"/>
    </xf>
    <xf numFmtId="177" fontId="7" fillId="2"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177" fontId="16" fillId="0" borderId="0" xfId="0" applyNumberFormat="1" applyFont="1" applyAlignment="1">
      <alignment horizontal="center" vertical="center"/>
    </xf>
    <xf numFmtId="0" fontId="17" fillId="3" borderId="1" xfId="0" applyFont="1" applyFill="1" applyBorder="1" applyAlignment="1">
      <alignment horizontal="center" vertical="center" wrapText="1"/>
    </xf>
    <xf numFmtId="177" fontId="17" fillId="3" borderId="1" xfId="0" applyNumberFormat="1" applyFont="1" applyFill="1" applyBorder="1" applyAlignment="1">
      <alignment horizontal="center" vertical="center" wrapText="1"/>
    </xf>
    <xf numFmtId="10" fontId="17" fillId="3"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xf>
    <xf numFmtId="49" fontId="9" fillId="4" borderId="1" xfId="0" applyNumberFormat="1" applyFont="1" applyFill="1" applyBorder="1" applyAlignment="1">
      <alignment horizontal="left" vertical="center"/>
    </xf>
    <xf numFmtId="0" fontId="2" fillId="4" borderId="1" xfId="0" applyFont="1" applyFill="1" applyBorder="1" applyAlignment="1">
      <alignment horizontal="center" vertical="center" wrapText="1"/>
    </xf>
    <xf numFmtId="177" fontId="2" fillId="4" borderId="1" xfId="0" applyNumberFormat="1" applyFont="1" applyFill="1" applyBorder="1" applyAlignment="1">
      <alignment horizontal="center" vertical="center" wrapText="1"/>
    </xf>
    <xf numFmtId="177" fontId="2" fillId="4" borderId="1" xfId="0" applyNumberFormat="1" applyFont="1" applyFill="1" applyBorder="1" applyAlignment="1">
      <alignment horizontal="center" vertical="center"/>
    </xf>
    <xf numFmtId="0" fontId="2" fillId="0" borderId="1" xfId="67" applyFont="1" applyFill="1" applyBorder="1" applyAlignment="1" applyProtection="1">
      <alignment horizontal="left" vertical="center" wrapText="1"/>
    </xf>
    <xf numFmtId="177" fontId="9" fillId="0" borderId="1" xfId="69" applyNumberFormat="1" applyFont="1" applyFill="1" applyBorder="1" applyAlignment="1">
      <alignment horizontal="center" vertical="center" wrapText="1"/>
    </xf>
    <xf numFmtId="177" fontId="11" fillId="5" borderId="1" xfId="62"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0" fontId="18" fillId="0" borderId="2" xfId="0" applyNumberFormat="1" applyFont="1" applyBorder="1" applyAlignment="1">
      <alignment horizontal="left" vertical="center" wrapText="1"/>
    </xf>
    <xf numFmtId="0" fontId="10" fillId="0" borderId="2" xfId="0" applyNumberFormat="1" applyFont="1" applyBorder="1" applyAlignment="1">
      <alignment horizontal="left" vertical="center" wrapText="1"/>
    </xf>
    <xf numFmtId="0" fontId="2" fillId="0" borderId="1" xfId="67"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 xfId="66" applyFont="1" applyFill="1" applyBorder="1" applyAlignment="1">
      <alignment horizontal="left" vertical="center" wrapText="1"/>
    </xf>
    <xf numFmtId="0" fontId="19" fillId="0" borderId="1" xfId="30" applyFont="1" applyFill="1" applyBorder="1" applyAlignment="1">
      <alignment horizontal="left" vertical="center" wrapText="1"/>
    </xf>
    <xf numFmtId="2" fontId="2" fillId="0" borderId="1" xfId="0" applyNumberFormat="1" applyFont="1" applyFill="1" applyBorder="1" applyAlignment="1" applyProtection="1">
      <alignment horizontal="left" vertical="center" wrapText="1"/>
    </xf>
    <xf numFmtId="0" fontId="18" fillId="0" borderId="2" xfId="0" applyNumberFormat="1" applyFont="1" applyBorder="1" applyAlignment="1">
      <alignment vertical="center" wrapText="1"/>
    </xf>
    <xf numFmtId="0" fontId="2" fillId="0" borderId="1" xfId="51" applyFont="1" applyFill="1" applyBorder="1" applyAlignment="1" applyProtection="1">
      <alignment vertical="center" wrapText="1"/>
    </xf>
    <xf numFmtId="0" fontId="11" fillId="0" borderId="1" xfId="0" applyFont="1" applyFill="1" applyBorder="1" applyAlignment="1">
      <alignment horizontal="left" vertical="center" wrapText="1"/>
    </xf>
    <xf numFmtId="0" fontId="9" fillId="6" borderId="1" xfId="69" applyNumberFormat="1" applyFont="1" applyFill="1" applyBorder="1" applyAlignment="1" applyProtection="1">
      <alignment horizontal="center" vertical="center" wrapText="1"/>
    </xf>
    <xf numFmtId="49" fontId="20" fillId="3" borderId="1" xfId="0" applyNumberFormat="1" applyFont="1" applyFill="1" applyBorder="1" applyAlignment="1">
      <alignment horizontal="left" vertical="center"/>
    </xf>
    <xf numFmtId="49" fontId="20"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177" fontId="2" fillId="3" borderId="1"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177" fontId="2" fillId="0" borderId="0" xfId="0" applyNumberFormat="1" applyFont="1" applyAlignment="1">
      <alignment horizontal="center" vertical="center" wrapText="1"/>
    </xf>
    <xf numFmtId="0" fontId="21" fillId="0" borderId="0" xfId="0" applyFont="1" applyAlignment="1">
      <alignment horizontal="center" vertical="center"/>
    </xf>
    <xf numFmtId="0" fontId="22" fillId="3" borderId="1" xfId="0" applyFont="1" applyFill="1" applyBorder="1" applyAlignment="1">
      <alignment horizontal="center" vertical="center" wrapText="1"/>
    </xf>
    <xf numFmtId="10" fontId="17" fillId="5" borderId="1" xfId="0" applyNumberFormat="1" applyFont="1" applyFill="1" applyBorder="1" applyAlignment="1">
      <alignment horizontal="center" vertical="center" wrapText="1"/>
    </xf>
    <xf numFmtId="177" fontId="11" fillId="4" borderId="1" xfId="0" applyNumberFormat="1" applyFont="1" applyFill="1" applyBorder="1" applyAlignment="1">
      <alignment horizontal="center" vertical="center" wrapText="1"/>
    </xf>
    <xf numFmtId="177" fontId="15" fillId="4" borderId="1" xfId="0" applyNumberFormat="1" applyFont="1" applyFill="1" applyBorder="1" applyAlignment="1">
      <alignment horizontal="center" vertical="center"/>
    </xf>
    <xf numFmtId="177" fontId="23" fillId="0" borderId="1" xfId="62" applyNumberFormat="1" applyFont="1" applyFill="1" applyBorder="1" applyAlignment="1" applyProtection="1">
      <alignment horizontal="center" vertical="center" wrapText="1"/>
    </xf>
    <xf numFmtId="177" fontId="23" fillId="0" borderId="1" xfId="62" applyNumberFormat="1" applyFont="1" applyFill="1" applyBorder="1" applyAlignment="1" applyProtection="1">
      <alignment horizontal="left" vertical="center" wrapText="1"/>
    </xf>
    <xf numFmtId="177" fontId="18" fillId="0" borderId="2" xfId="0" applyNumberFormat="1" applyFont="1" applyBorder="1" applyAlignment="1">
      <alignment horizontal="center" vertical="center" wrapText="1"/>
    </xf>
    <xf numFmtId="177" fontId="24" fillId="0" borderId="2" xfId="0" applyNumberFormat="1" applyFont="1" applyBorder="1" applyAlignment="1">
      <alignment horizontal="center" vertical="center" wrapText="1"/>
    </xf>
    <xf numFmtId="177" fontId="25" fillId="3" borderId="1" xfId="0" applyNumberFormat="1" applyFont="1" applyFill="1" applyBorder="1" applyAlignment="1">
      <alignment horizontal="center" vertical="center" wrapText="1"/>
    </xf>
    <xf numFmtId="177" fontId="15" fillId="3" borderId="1" xfId="0" applyNumberFormat="1" applyFont="1" applyFill="1" applyBorder="1" applyAlignment="1">
      <alignment horizontal="center" vertical="center"/>
    </xf>
    <xf numFmtId="0" fontId="2" fillId="7" borderId="0" xfId="0" applyFont="1" applyFill="1" applyBorder="1" applyAlignment="1">
      <alignment horizontal="center" vertical="center"/>
    </xf>
    <xf numFmtId="0" fontId="0" fillId="0" borderId="0" xfId="0" applyFill="1" applyAlignment="1">
      <alignment horizontal="center" vertical="center"/>
    </xf>
    <xf numFmtId="0" fontId="16" fillId="0" borderId="0" xfId="0" applyFont="1" applyFill="1" applyAlignment="1">
      <alignment horizontal="center" vertical="center"/>
    </xf>
    <xf numFmtId="0" fontId="17" fillId="0" borderId="1" xfId="0"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9" fillId="0" borderId="1" xfId="69" applyFont="1" applyFill="1" applyBorder="1" applyAlignment="1">
      <alignment horizontal="center" vertical="center" wrapText="1"/>
    </xf>
    <xf numFmtId="0" fontId="9" fillId="8" borderId="1" xfId="69" applyNumberFormat="1" applyFont="1" applyFill="1" applyBorder="1" applyAlignment="1" applyProtection="1">
      <alignment horizontal="center" vertical="center" wrapText="1"/>
    </xf>
    <xf numFmtId="0" fontId="18" fillId="8" borderId="2" xfId="0" applyNumberFormat="1" applyFont="1" applyFill="1" applyBorder="1" applyAlignment="1">
      <alignment horizontal="left" vertical="center" wrapText="1"/>
    </xf>
    <xf numFmtId="0" fontId="10" fillId="8" borderId="2" xfId="0" applyNumberFormat="1" applyFont="1" applyFill="1" applyBorder="1" applyAlignment="1">
      <alignment horizontal="left" vertical="center" wrapText="1"/>
    </xf>
    <xf numFmtId="177" fontId="2" fillId="8" borderId="1" xfId="0" applyNumberFormat="1" applyFont="1" applyFill="1" applyBorder="1" applyAlignment="1">
      <alignment horizontal="center" vertical="center" wrapText="1"/>
    </xf>
    <xf numFmtId="177" fontId="9" fillId="8" borderId="1" xfId="69" applyNumberFormat="1" applyFont="1" applyFill="1" applyBorder="1" applyAlignment="1">
      <alignment horizontal="center" vertical="center" wrapText="1"/>
    </xf>
    <xf numFmtId="177" fontId="11" fillId="8" borderId="1" xfId="62" applyNumberFormat="1" applyFont="1" applyFill="1" applyBorder="1" applyAlignment="1" applyProtection="1">
      <alignment horizontal="center" vertical="center" wrapText="1"/>
    </xf>
    <xf numFmtId="0" fontId="19" fillId="0" borderId="1" xfId="26" applyFont="1" applyFill="1" applyBorder="1" applyAlignment="1">
      <alignment horizontal="left" vertical="center" wrapText="1"/>
    </xf>
    <xf numFmtId="0" fontId="19" fillId="0" borderId="1" xfId="70" applyNumberFormat="1" applyFont="1" applyFill="1" applyBorder="1" applyAlignment="1">
      <alignment horizontal="left" vertical="center" wrapText="1"/>
    </xf>
    <xf numFmtId="0" fontId="19" fillId="0" borderId="1" xfId="60" applyNumberFormat="1" applyFont="1" applyFill="1" applyBorder="1" applyAlignment="1">
      <alignment horizontal="center" vertical="center" wrapText="1" shrinkToFit="1"/>
    </xf>
    <xf numFmtId="0" fontId="19" fillId="0" borderId="1" xfId="60" applyNumberFormat="1" applyFont="1" applyFill="1" applyBorder="1" applyAlignment="1">
      <alignment horizontal="center" vertical="center" wrapText="1"/>
    </xf>
    <xf numFmtId="0" fontId="19" fillId="0" borderId="1" xfId="73" applyNumberFormat="1" applyFont="1" applyFill="1" applyBorder="1" applyAlignment="1">
      <alignment horizontal="center" vertical="center" wrapText="1"/>
    </xf>
    <xf numFmtId="0" fontId="2" fillId="0" borderId="1" xfId="51" applyFont="1" applyFill="1" applyBorder="1" applyAlignment="1" applyProtection="1">
      <alignment horizontal="left" vertical="center" wrapText="1"/>
    </xf>
    <xf numFmtId="178" fontId="11" fillId="0" borderId="1" xfId="62" applyNumberFormat="1" applyFont="1" applyFill="1" applyBorder="1" applyAlignment="1" applyProtection="1">
      <alignment horizontal="center" vertical="center" wrapText="1"/>
    </xf>
    <xf numFmtId="179" fontId="9" fillId="8" borderId="1" xfId="43" applyNumberFormat="1" applyFont="1" applyFill="1" applyBorder="1" applyAlignment="1">
      <alignment horizontal="left" vertical="center" wrapText="1"/>
    </xf>
    <xf numFmtId="179" fontId="10" fillId="8" borderId="1" xfId="3" applyNumberFormat="1" applyFont="1" applyFill="1" applyBorder="1" applyAlignment="1">
      <alignment horizontal="left" vertical="center" wrapText="1"/>
    </xf>
    <xf numFmtId="179" fontId="9" fillId="8" borderId="1" xfId="26" applyNumberFormat="1" applyFont="1" applyFill="1" applyBorder="1" applyAlignment="1">
      <alignment horizontal="center" vertical="center" wrapText="1"/>
    </xf>
    <xf numFmtId="178" fontId="11" fillId="8" borderId="1" xfId="62" applyNumberFormat="1" applyFont="1" applyFill="1" applyBorder="1" applyAlignment="1" applyProtection="1">
      <alignment horizontal="center" vertical="center" wrapText="1"/>
    </xf>
    <xf numFmtId="0" fontId="2" fillId="8" borderId="1" xfId="0" applyFont="1" applyFill="1" applyBorder="1" applyAlignment="1" applyProtection="1">
      <alignment horizontal="left" vertical="center" wrapText="1"/>
    </xf>
    <xf numFmtId="0" fontId="11" fillId="8" borderId="1" xfId="0" applyFont="1" applyFill="1" applyBorder="1" applyAlignment="1">
      <alignment horizontal="center" vertical="center" wrapText="1"/>
    </xf>
    <xf numFmtId="179" fontId="9" fillId="8" borderId="1" xfId="26" applyNumberFormat="1" applyFont="1" applyFill="1" applyBorder="1" applyAlignment="1">
      <alignment horizontal="center" vertical="center"/>
    </xf>
    <xf numFmtId="179" fontId="9" fillId="0" borderId="1" xfId="26" applyNumberFormat="1" applyFont="1" applyFill="1" applyBorder="1" applyAlignment="1">
      <alignment horizontal="center" vertical="center"/>
    </xf>
    <xf numFmtId="179" fontId="2" fillId="0" borderId="1" xfId="26" applyNumberFormat="1" applyFont="1" applyFill="1" applyBorder="1" applyAlignment="1">
      <alignment horizontal="left" vertical="center" wrapText="1"/>
    </xf>
    <xf numFmtId="179" fontId="2" fillId="0" borderId="1" xfId="30" applyNumberFormat="1" applyFont="1" applyFill="1" applyBorder="1" applyAlignment="1">
      <alignment horizontal="left" vertical="center" wrapText="1"/>
    </xf>
    <xf numFmtId="179" fontId="2" fillId="0" borderId="1" xfId="71" applyNumberFormat="1" applyFont="1" applyFill="1" applyBorder="1" applyAlignment="1">
      <alignment horizontal="center" vertical="center" wrapText="1"/>
    </xf>
    <xf numFmtId="179" fontId="2" fillId="0" borderId="1" xfId="26" applyNumberFormat="1" applyFont="1" applyFill="1" applyBorder="1" applyAlignment="1">
      <alignment horizontal="center" vertical="center"/>
    </xf>
    <xf numFmtId="0" fontId="9" fillId="7" borderId="1" xfId="69" applyNumberFormat="1" applyFont="1" applyFill="1" applyBorder="1" applyAlignment="1" applyProtection="1">
      <alignment horizontal="center" vertical="center" wrapText="1"/>
    </xf>
    <xf numFmtId="179" fontId="2" fillId="7" borderId="1" xfId="26" applyNumberFormat="1" applyFont="1" applyFill="1" applyBorder="1" applyAlignment="1">
      <alignment horizontal="left" vertical="center" wrapText="1"/>
    </xf>
    <xf numFmtId="179" fontId="2" fillId="7" borderId="1" xfId="30" applyNumberFormat="1" applyFont="1" applyFill="1" applyBorder="1" applyAlignment="1">
      <alignment horizontal="left" vertical="center" wrapText="1"/>
    </xf>
    <xf numFmtId="179" fontId="2" fillId="7" borderId="1" xfId="71" applyNumberFormat="1" applyFont="1" applyFill="1" applyBorder="1" applyAlignment="1">
      <alignment horizontal="center" vertical="center" wrapText="1"/>
    </xf>
    <xf numFmtId="179" fontId="2" fillId="7" borderId="1" xfId="26" applyNumberFormat="1" applyFont="1" applyFill="1" applyBorder="1" applyAlignment="1">
      <alignment horizontal="center" vertical="center"/>
    </xf>
    <xf numFmtId="178" fontId="11" fillId="7" borderId="1" xfId="62" applyNumberFormat="1" applyFont="1" applyFill="1" applyBorder="1" applyAlignment="1" applyProtection="1">
      <alignment horizontal="center" vertical="center" wrapText="1"/>
    </xf>
    <xf numFmtId="177" fontId="11" fillId="7" borderId="1" xfId="62" applyNumberFormat="1" applyFont="1" applyFill="1" applyBorder="1" applyAlignment="1" applyProtection="1">
      <alignment horizontal="center" vertical="center" wrapText="1"/>
    </xf>
    <xf numFmtId="179" fontId="2" fillId="8" borderId="1" xfId="26" applyNumberFormat="1" applyFont="1" applyFill="1" applyBorder="1" applyAlignment="1">
      <alignment horizontal="left" vertical="center" wrapText="1"/>
    </xf>
    <xf numFmtId="179" fontId="2" fillId="8" borderId="1" xfId="30" applyNumberFormat="1" applyFont="1" applyFill="1" applyBorder="1" applyAlignment="1">
      <alignment horizontal="left" vertical="center" wrapText="1"/>
    </xf>
    <xf numFmtId="179" fontId="2" fillId="8" borderId="1" xfId="71" applyNumberFormat="1" applyFont="1" applyFill="1" applyBorder="1" applyAlignment="1">
      <alignment horizontal="center" vertical="center" wrapText="1"/>
    </xf>
    <xf numFmtId="179" fontId="2" fillId="8" borderId="1" xfId="26" applyNumberFormat="1" applyFont="1" applyFill="1" applyBorder="1" applyAlignment="1">
      <alignment horizontal="center" vertical="center"/>
    </xf>
    <xf numFmtId="179" fontId="9" fillId="8" borderId="1" xfId="26" applyNumberFormat="1" applyFont="1" applyFill="1" applyBorder="1" applyAlignment="1" applyProtection="1">
      <alignment horizontal="left" vertical="center" wrapText="1"/>
    </xf>
    <xf numFmtId="179" fontId="9" fillId="8" borderId="1" xfId="70" applyNumberFormat="1" applyFont="1" applyFill="1" applyBorder="1" applyAlignment="1">
      <alignment horizontal="left" vertical="center" wrapText="1"/>
    </xf>
    <xf numFmtId="179" fontId="9" fillId="8" borderId="1" xfId="71" applyNumberFormat="1" applyFont="1" applyFill="1" applyBorder="1" applyAlignment="1">
      <alignment horizontal="center" vertical="center" wrapText="1"/>
    </xf>
    <xf numFmtId="179" fontId="9" fillId="8" borderId="1" xfId="26" applyNumberFormat="1" applyFont="1" applyFill="1" applyBorder="1" applyAlignment="1" applyProtection="1">
      <alignment horizontal="center" vertical="center"/>
    </xf>
    <xf numFmtId="178" fontId="11" fillId="8" borderId="3" xfId="62" applyNumberFormat="1" applyFont="1" applyFill="1" applyBorder="1" applyAlignment="1" applyProtection="1">
      <alignment horizontal="center" vertical="center" wrapText="1"/>
    </xf>
    <xf numFmtId="177" fontId="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wrapText="1"/>
    </xf>
    <xf numFmtId="177" fontId="11" fillId="0" borderId="1" xfId="62" applyNumberFormat="1" applyFont="1" applyFill="1" applyBorder="1" applyAlignment="1" applyProtection="1">
      <alignment horizontal="left" vertical="center" wrapText="1"/>
    </xf>
    <xf numFmtId="177" fontId="10" fillId="0" borderId="1" xfId="62" applyNumberFormat="1" applyFont="1" applyFill="1" applyBorder="1" applyAlignment="1" applyProtection="1">
      <alignment horizontal="left" vertical="center" wrapText="1"/>
    </xf>
    <xf numFmtId="177" fontId="11" fillId="8" borderId="1" xfId="0" applyNumberFormat="1" applyFont="1" applyFill="1" applyBorder="1" applyAlignment="1">
      <alignment horizontal="center" vertical="center" wrapText="1"/>
    </xf>
    <xf numFmtId="177" fontId="18" fillId="8" borderId="2" xfId="0" applyNumberFormat="1" applyFont="1" applyFill="1" applyBorder="1" applyAlignment="1">
      <alignment horizontal="center" vertical="center" wrapText="1"/>
    </xf>
    <xf numFmtId="177" fontId="13" fillId="8" borderId="1" xfId="62" applyNumberFormat="1" applyFont="1" applyFill="1" applyBorder="1" applyAlignment="1" applyProtection="1">
      <alignment horizontal="left" vertical="center" wrapText="1"/>
    </xf>
    <xf numFmtId="177" fontId="11" fillId="7"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49" fontId="9" fillId="4" borderId="3" xfId="0" applyNumberFormat="1" applyFont="1" applyFill="1" applyBorder="1" applyAlignment="1">
      <alignment horizontal="left" vertical="center"/>
    </xf>
    <xf numFmtId="49" fontId="9" fillId="4" borderId="6" xfId="0" applyNumberFormat="1" applyFont="1" applyFill="1" applyBorder="1" applyAlignment="1">
      <alignment horizontal="left" vertical="center"/>
    </xf>
    <xf numFmtId="177" fontId="2" fillId="0" borderId="1" xfId="0" applyNumberFormat="1" applyFont="1" applyBorder="1" applyAlignment="1">
      <alignment horizontal="left" vertical="center" wrapText="1"/>
    </xf>
    <xf numFmtId="0" fontId="19" fillId="0" borderId="1" xfId="60" applyNumberFormat="1" applyFont="1" applyFill="1" applyBorder="1" applyAlignment="1">
      <alignment horizontal="left" vertical="center" wrapText="1" shrinkToFit="1"/>
    </xf>
    <xf numFmtId="0" fontId="19" fillId="0" borderId="1" xfId="60" applyNumberFormat="1" applyFont="1" applyFill="1" applyBorder="1" applyAlignment="1">
      <alignment horizontal="left" vertical="center" wrapText="1"/>
    </xf>
    <xf numFmtId="0" fontId="26" fillId="8" borderId="1" xfId="69" applyNumberFormat="1" applyFont="1" applyFill="1" applyBorder="1" applyAlignment="1" applyProtection="1">
      <alignment horizontal="center" vertical="center" wrapText="1"/>
    </xf>
    <xf numFmtId="0" fontId="19" fillId="8" borderId="1" xfId="67" applyFont="1" applyFill="1" applyBorder="1" applyAlignment="1" applyProtection="1">
      <alignment horizontal="center" vertical="center" wrapText="1"/>
    </xf>
    <xf numFmtId="0" fontId="19" fillId="8" borderId="1" xfId="67" applyFont="1" applyFill="1" applyBorder="1" applyAlignment="1" applyProtection="1">
      <alignment horizontal="left" vertical="center" wrapText="1"/>
    </xf>
    <xf numFmtId="0" fontId="9" fillId="8" borderId="1" xfId="67" applyFont="1" applyFill="1" applyBorder="1" applyAlignment="1" applyProtection="1">
      <alignment horizontal="left" vertical="center" wrapText="1"/>
    </xf>
    <xf numFmtId="0" fontId="9" fillId="8" borderId="1" xfId="69" applyFont="1" applyFill="1" applyBorder="1" applyAlignment="1">
      <alignment horizontal="center" vertical="center" wrapText="1"/>
    </xf>
    <xf numFmtId="177" fontId="9" fillId="8" borderId="1" xfId="62" applyNumberFormat="1" applyFont="1" applyFill="1" applyBorder="1" applyAlignment="1" applyProtection="1">
      <alignment horizontal="center" vertical="center" wrapText="1"/>
    </xf>
    <xf numFmtId="0" fontId="26" fillId="7" borderId="1" xfId="69" applyNumberFormat="1" applyFont="1" applyFill="1" applyBorder="1" applyAlignment="1" applyProtection="1">
      <alignment horizontal="center" vertical="center" wrapText="1"/>
    </xf>
    <xf numFmtId="0" fontId="19" fillId="7" borderId="1" xfId="67" applyFont="1" applyFill="1" applyBorder="1" applyAlignment="1" applyProtection="1">
      <alignment horizontal="center" vertical="center" wrapText="1"/>
    </xf>
    <xf numFmtId="0" fontId="19" fillId="7" borderId="1" xfId="67" applyFont="1" applyFill="1" applyBorder="1" applyAlignment="1" applyProtection="1">
      <alignment horizontal="left" vertical="center" wrapText="1"/>
    </xf>
    <xf numFmtId="0" fontId="9" fillId="7" borderId="1" xfId="67" applyFont="1" applyFill="1" applyBorder="1" applyAlignment="1" applyProtection="1">
      <alignment horizontal="left" vertical="center" wrapText="1"/>
    </xf>
    <xf numFmtId="0" fontId="9" fillId="7" borderId="1" xfId="69" applyFont="1" applyFill="1" applyBorder="1" applyAlignment="1">
      <alignment horizontal="center" vertical="center" wrapText="1"/>
    </xf>
    <xf numFmtId="177" fontId="9" fillId="7" borderId="1" xfId="62" applyNumberFormat="1" applyFont="1" applyFill="1" applyBorder="1" applyAlignment="1" applyProtection="1">
      <alignment horizontal="center" vertical="center" wrapText="1"/>
    </xf>
    <xf numFmtId="0" fontId="2" fillId="4" borderId="1" xfId="0" applyFont="1" applyFill="1" applyBorder="1" applyAlignment="1">
      <alignment horizontal="left" vertical="center" wrapText="1"/>
    </xf>
    <xf numFmtId="0" fontId="2" fillId="8" borderId="1" xfId="67" applyFont="1" applyFill="1" applyBorder="1" applyAlignment="1" applyProtection="1">
      <alignment horizontal="center" vertical="center" wrapText="1"/>
    </xf>
    <xf numFmtId="0" fontId="2" fillId="8" borderId="1" xfId="67" applyFont="1" applyFill="1" applyBorder="1" applyAlignment="1" applyProtection="1">
      <alignment horizontal="left" vertical="center" wrapText="1"/>
    </xf>
    <xf numFmtId="0" fontId="19" fillId="8" borderId="1" xfId="60" applyNumberFormat="1" applyFont="1" applyFill="1" applyBorder="1" applyAlignment="1">
      <alignment horizontal="left" vertical="center" wrapText="1" shrinkToFit="1"/>
    </xf>
    <xf numFmtId="0" fontId="27" fillId="8" borderId="1" xfId="60" applyNumberFormat="1" applyFont="1" applyFill="1" applyBorder="1" applyAlignment="1">
      <alignment horizontal="left" vertical="center" wrapText="1" shrinkToFit="1"/>
    </xf>
    <xf numFmtId="179" fontId="9" fillId="0" borderId="1" xfId="26" applyNumberFormat="1" applyFont="1" applyFill="1" applyBorder="1" applyAlignment="1">
      <alignment horizontal="left" vertical="center" wrapText="1"/>
    </xf>
    <xf numFmtId="179" fontId="9" fillId="0" borderId="1" xfId="70" applyNumberFormat="1" applyFont="1" applyFill="1" applyBorder="1" applyAlignment="1">
      <alignment horizontal="left" vertical="center" wrapText="1"/>
    </xf>
    <xf numFmtId="179" fontId="9" fillId="0" borderId="1" xfId="26" applyNumberFormat="1" applyFont="1" applyFill="1" applyBorder="1" applyAlignment="1">
      <alignment vertical="center" wrapText="1"/>
    </xf>
    <xf numFmtId="0" fontId="9" fillId="0" borderId="1" xfId="68" applyFont="1" applyFill="1" applyBorder="1" applyAlignment="1">
      <alignment horizontal="left" vertical="center" wrapText="1"/>
    </xf>
    <xf numFmtId="179" fontId="9" fillId="8" borderId="1" xfId="26" applyNumberFormat="1" applyFont="1" applyFill="1" applyBorder="1" applyAlignment="1">
      <alignment horizontal="left" vertical="center" wrapText="1"/>
    </xf>
    <xf numFmtId="0" fontId="19" fillId="8" borderId="1" xfId="70" applyNumberFormat="1" applyFont="1" applyFill="1" applyBorder="1" applyAlignment="1">
      <alignment horizontal="left" vertical="center" wrapText="1"/>
    </xf>
    <xf numFmtId="0" fontId="19" fillId="8" borderId="1" xfId="60" applyNumberFormat="1" applyFont="1" applyFill="1" applyBorder="1" applyAlignment="1">
      <alignment horizontal="center" vertical="center" wrapText="1"/>
    </xf>
    <xf numFmtId="0" fontId="27" fillId="8" borderId="1" xfId="26" applyFont="1" applyFill="1" applyBorder="1" applyAlignment="1">
      <alignment horizontal="left" vertical="center" wrapText="1"/>
    </xf>
    <xf numFmtId="177" fontId="9" fillId="8" borderId="1" xfId="0" applyNumberFormat="1" applyFont="1" applyFill="1" applyBorder="1" applyAlignment="1">
      <alignment horizontal="center" vertical="center" wrapText="1"/>
    </xf>
    <xf numFmtId="0" fontId="2" fillId="8" borderId="1" xfId="0" applyNumberFormat="1" applyFont="1" applyFill="1" applyBorder="1" applyAlignment="1" applyProtection="1">
      <alignment horizontal="left" vertical="center" wrapText="1"/>
    </xf>
    <xf numFmtId="0" fontId="19" fillId="0" borderId="1" xfId="73" applyNumberFormat="1" applyFont="1" applyFill="1" applyBorder="1" applyAlignment="1">
      <alignment horizontal="left" vertical="center" wrapText="1"/>
    </xf>
    <xf numFmtId="177" fontId="17" fillId="3" borderId="7" xfId="0" applyNumberFormat="1" applyFont="1" applyFill="1" applyBorder="1" applyAlignment="1">
      <alignment horizontal="center" vertical="center" wrapText="1"/>
    </xf>
    <xf numFmtId="177" fontId="17" fillId="3" borderId="5" xfId="0" applyNumberFormat="1" applyFont="1" applyFill="1" applyBorder="1" applyAlignment="1">
      <alignment horizontal="center" vertical="center" wrapText="1"/>
    </xf>
    <xf numFmtId="177" fontId="17" fillId="3" borderId="4" xfId="0" applyNumberFormat="1" applyFont="1" applyFill="1" applyBorder="1" applyAlignment="1">
      <alignment horizontal="center" vertical="center" wrapText="1"/>
    </xf>
    <xf numFmtId="177" fontId="10" fillId="0" borderId="1" xfId="62" applyNumberFormat="1" applyFont="1" applyFill="1" applyBorder="1" applyAlignment="1" applyProtection="1">
      <alignment horizontal="center" vertical="center" wrapText="1"/>
    </xf>
    <xf numFmtId="177" fontId="9" fillId="7" borderId="1" xfId="0" applyNumberFormat="1" applyFont="1" applyFill="1" applyBorder="1" applyAlignment="1">
      <alignment horizontal="center" vertical="center" wrapText="1"/>
    </xf>
    <xf numFmtId="0" fontId="26" fillId="0" borderId="1" xfId="69" applyNumberFormat="1" applyFont="1" applyFill="1" applyBorder="1" applyAlignment="1" applyProtection="1">
      <alignment horizontal="center" vertical="center" wrapText="1"/>
    </xf>
    <xf numFmtId="0" fontId="2" fillId="8" borderId="1" xfId="51" applyFont="1" applyFill="1" applyBorder="1" applyAlignment="1" applyProtection="1">
      <alignment horizontal="left" vertical="center" wrapText="1"/>
    </xf>
    <xf numFmtId="179" fontId="9" fillId="8" borderId="1" xfId="26" applyNumberFormat="1" applyFont="1" applyFill="1" applyBorder="1" applyAlignment="1">
      <alignment vertical="center" wrapText="1"/>
    </xf>
    <xf numFmtId="0" fontId="11" fillId="8" borderId="1" xfId="0" applyFont="1" applyFill="1" applyBorder="1" applyAlignment="1">
      <alignment horizontal="left" vertical="center" wrapText="1"/>
    </xf>
    <xf numFmtId="178" fontId="11" fillId="0" borderId="3" xfId="62" applyNumberFormat="1" applyFont="1" applyFill="1" applyBorder="1" applyAlignment="1" applyProtection="1">
      <alignment horizontal="center" vertical="center" wrapText="1"/>
    </xf>
    <xf numFmtId="0" fontId="2" fillId="8" borderId="1" xfId="51" applyFont="1" applyFill="1" applyBorder="1" applyAlignment="1" applyProtection="1">
      <alignment vertical="center" wrapText="1"/>
    </xf>
    <xf numFmtId="0" fontId="19" fillId="8"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79" fontId="9" fillId="0" borderId="1" xfId="0" applyNumberFormat="1" applyFont="1" applyFill="1" applyBorder="1" applyAlignment="1">
      <alignment horizontal="left" vertical="center" wrapText="1"/>
    </xf>
    <xf numFmtId="179" fontId="9" fillId="0" borderId="1" xfId="3" applyNumberFormat="1" applyFont="1" applyFill="1" applyBorder="1" applyAlignment="1">
      <alignment vertical="center" wrapText="1"/>
    </xf>
    <xf numFmtId="179" fontId="19" fillId="0" borderId="1" xfId="3" applyNumberFormat="1" applyFont="1" applyFill="1" applyBorder="1" applyAlignment="1">
      <alignment vertical="center" wrapText="1"/>
    </xf>
    <xf numFmtId="179" fontId="9" fillId="0" borderId="1" xfId="6" applyNumberFormat="1" applyFont="1" applyFill="1" applyBorder="1" applyAlignment="1">
      <alignment horizontal="center" vertical="center"/>
    </xf>
    <xf numFmtId="0" fontId="9" fillId="0" borderId="1" xfId="67" applyFont="1" applyFill="1" applyBorder="1" applyAlignment="1" applyProtection="1">
      <alignment horizontal="left" vertical="center" wrapText="1"/>
    </xf>
    <xf numFmtId="177" fontId="26" fillId="8" borderId="1" xfId="62" applyNumberFormat="1" applyFont="1" applyFill="1" applyBorder="1" applyAlignment="1" applyProtection="1">
      <alignment horizontal="left" vertical="center" wrapText="1"/>
    </xf>
    <xf numFmtId="0" fontId="26" fillId="8" borderId="1" xfId="0" applyFont="1" applyFill="1" applyBorder="1" applyAlignment="1">
      <alignment horizontal="center" vertical="center" wrapText="1"/>
    </xf>
    <xf numFmtId="0" fontId="19" fillId="0" borderId="1" xfId="26" applyNumberFormat="1" applyFont="1" applyFill="1" applyBorder="1" applyAlignment="1">
      <alignment horizontal="left" vertical="center" wrapText="1"/>
    </xf>
    <xf numFmtId="49" fontId="20" fillId="3" borderId="3" xfId="0" applyNumberFormat="1" applyFont="1" applyFill="1" applyBorder="1" applyAlignment="1">
      <alignment horizontal="center" vertical="center"/>
    </xf>
    <xf numFmtId="49" fontId="20" fillId="3" borderId="6" xfId="0" applyNumberFormat="1" applyFont="1" applyFill="1" applyBorder="1" applyAlignment="1">
      <alignment horizontal="center" vertical="center"/>
    </xf>
    <xf numFmtId="49" fontId="9" fillId="9" borderId="1" xfId="0" applyNumberFormat="1" applyFont="1" applyFill="1" applyBorder="1" applyAlignment="1">
      <alignment horizontal="center" vertical="center"/>
    </xf>
    <xf numFmtId="49" fontId="9" fillId="9" borderId="1" xfId="0" applyNumberFormat="1" applyFont="1" applyFill="1" applyBorder="1" applyAlignment="1">
      <alignment horizontal="left" vertical="center"/>
    </xf>
    <xf numFmtId="0" fontId="2" fillId="9" borderId="1" xfId="0" applyFont="1" applyFill="1" applyBorder="1" applyAlignment="1">
      <alignment horizontal="center" vertical="center" wrapText="1"/>
    </xf>
    <xf numFmtId="177" fontId="2" fillId="9" borderId="1" xfId="0" applyNumberFormat="1" applyFont="1" applyFill="1" applyBorder="1" applyAlignment="1">
      <alignment horizontal="center" vertical="center" wrapText="1"/>
    </xf>
    <xf numFmtId="177" fontId="2" fillId="9" borderId="1" xfId="0" applyNumberFormat="1" applyFont="1" applyFill="1" applyBorder="1" applyAlignment="1">
      <alignment horizontal="center" vertical="center"/>
    </xf>
    <xf numFmtId="177" fontId="2" fillId="0" borderId="1" xfId="0" applyNumberFormat="1" applyFont="1" applyFill="1" applyBorder="1" applyAlignment="1">
      <alignment horizontal="left" vertical="center" wrapText="1"/>
    </xf>
    <xf numFmtId="0" fontId="2" fillId="7" borderId="1" xfId="67" applyFont="1" applyFill="1" applyBorder="1" applyAlignment="1" applyProtection="1">
      <alignment horizontal="left" vertical="center" wrapText="1"/>
    </xf>
    <xf numFmtId="0" fontId="2" fillId="9" borderId="1" xfId="0" applyFont="1" applyFill="1" applyBorder="1" applyAlignment="1">
      <alignment horizontal="left" vertical="center" wrapText="1"/>
    </xf>
    <xf numFmtId="49" fontId="9" fillId="7"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xf>
    <xf numFmtId="179" fontId="9" fillId="8" borderId="1" xfId="71" applyNumberFormat="1" applyFont="1" applyFill="1" applyBorder="1" applyAlignment="1">
      <alignment horizontal="left" vertical="center" wrapText="1"/>
    </xf>
    <xf numFmtId="177" fontId="11" fillId="9" borderId="1" xfId="0" applyNumberFormat="1" applyFont="1" applyFill="1" applyBorder="1" applyAlignment="1">
      <alignment horizontal="center" vertical="center" wrapText="1"/>
    </xf>
    <xf numFmtId="0" fontId="19" fillId="7" borderId="1" xfId="60" applyNumberFormat="1" applyFont="1" applyFill="1" applyBorder="1" applyAlignment="1">
      <alignment horizontal="left" vertical="center" wrapText="1" shrinkToFit="1"/>
    </xf>
    <xf numFmtId="177" fontId="2" fillId="7" borderId="1" xfId="0" applyNumberFormat="1" applyFont="1" applyFill="1" applyBorder="1" applyAlignment="1">
      <alignment horizontal="center" vertical="center" wrapText="1"/>
    </xf>
    <xf numFmtId="0" fontId="19" fillId="7" borderId="1" xfId="26" applyNumberFormat="1" applyFont="1" applyFill="1" applyBorder="1" applyAlignment="1">
      <alignment horizontal="left" vertical="center" wrapText="1"/>
    </xf>
    <xf numFmtId="179" fontId="2" fillId="7" borderId="1" xfId="71" applyNumberFormat="1" applyFont="1" applyFill="1" applyBorder="1" applyAlignment="1">
      <alignment vertical="center" wrapText="1"/>
    </xf>
    <xf numFmtId="179" fontId="9" fillId="8" borderId="1" xfId="3" applyNumberFormat="1" applyFont="1" applyFill="1" applyBorder="1" applyAlignment="1">
      <alignment horizontal="left" vertical="center" wrapText="1"/>
    </xf>
    <xf numFmtId="177" fontId="9" fillId="8" borderId="1" xfId="16" applyNumberFormat="1" applyFont="1" applyFill="1" applyBorder="1" applyAlignment="1">
      <alignment horizontal="left" vertical="center" wrapText="1"/>
    </xf>
    <xf numFmtId="179" fontId="19" fillId="8" borderId="1" xfId="3" applyNumberFormat="1" applyFont="1" applyFill="1" applyBorder="1" applyAlignment="1">
      <alignment vertical="center" wrapText="1"/>
    </xf>
    <xf numFmtId="179" fontId="9" fillId="8" borderId="1" xfId="6" applyNumberFormat="1" applyFont="1" applyFill="1" applyBorder="1" applyAlignment="1">
      <alignment horizontal="center" vertical="center"/>
    </xf>
    <xf numFmtId="0" fontId="11" fillId="7" borderId="1" xfId="0" applyFont="1" applyFill="1" applyBorder="1" applyAlignment="1">
      <alignment horizontal="left" vertical="center" wrapText="1"/>
    </xf>
    <xf numFmtId="177" fontId="23" fillId="7" borderId="1" xfId="62" applyNumberFormat="1" applyFont="1" applyFill="1" applyBorder="1" applyAlignment="1" applyProtection="1">
      <alignment horizontal="center" vertical="center" wrapText="1"/>
    </xf>
    <xf numFmtId="0" fontId="2" fillId="7" borderId="0" xfId="0" applyFont="1" applyFill="1" applyAlignment="1">
      <alignment horizontal="center" vertical="center"/>
    </xf>
    <xf numFmtId="0" fontId="9" fillId="0" borderId="1" xfId="0" applyFont="1" applyFill="1" applyBorder="1" applyAlignment="1">
      <alignment horizontal="center" vertical="center" wrapText="1"/>
    </xf>
    <xf numFmtId="0" fontId="9" fillId="8" borderId="1" xfId="26" applyFont="1" applyFill="1" applyBorder="1" applyAlignment="1">
      <alignment horizontal="left" vertical="center" wrapText="1"/>
    </xf>
    <xf numFmtId="0" fontId="9" fillId="8" borderId="1" xfId="30" applyFont="1" applyFill="1" applyBorder="1" applyAlignment="1">
      <alignment horizontal="left" vertical="center" wrapText="1"/>
    </xf>
    <xf numFmtId="0" fontId="9" fillId="8" borderId="1" xfId="71" applyFont="1" applyFill="1" applyBorder="1" applyAlignment="1">
      <alignment horizontal="left" vertical="center" wrapText="1"/>
    </xf>
    <xf numFmtId="0" fontId="9" fillId="8" borderId="1" xfId="26" applyFont="1" applyFill="1" applyBorder="1" applyAlignment="1">
      <alignment horizontal="center" vertical="center"/>
    </xf>
    <xf numFmtId="179" fontId="2" fillId="0" borderId="1" xfId="71" applyNumberFormat="1" applyFont="1" applyFill="1" applyBorder="1" applyAlignment="1">
      <alignment vertical="center" wrapText="1"/>
    </xf>
    <xf numFmtId="0" fontId="19" fillId="8" borderId="1" xfId="26" applyNumberFormat="1" applyFont="1" applyFill="1" applyBorder="1" applyAlignment="1">
      <alignment horizontal="left" vertical="center" wrapText="1"/>
    </xf>
    <xf numFmtId="0" fontId="9" fillId="8" borderId="1" xfId="61" applyNumberFormat="1" applyFont="1" applyFill="1" applyBorder="1" applyAlignment="1">
      <alignment horizontal="left" vertical="center" wrapText="1"/>
    </xf>
    <xf numFmtId="0" fontId="9" fillId="8" borderId="1" xfId="61" applyNumberFormat="1" applyFont="1" applyFill="1" applyBorder="1" applyAlignment="1">
      <alignment horizontal="center" vertical="center"/>
    </xf>
    <xf numFmtId="0" fontId="9" fillId="8" borderId="3" xfId="69" applyFont="1" applyFill="1" applyBorder="1" applyAlignment="1">
      <alignment horizontal="center" vertical="center" wrapText="1"/>
    </xf>
    <xf numFmtId="179" fontId="9" fillId="7" borderId="1" xfId="0" applyNumberFormat="1" applyFont="1" applyFill="1" applyBorder="1" applyAlignment="1">
      <alignment horizontal="left" vertical="center" wrapText="1"/>
    </xf>
    <xf numFmtId="179" fontId="9" fillId="7" borderId="1" xfId="3" applyNumberFormat="1" applyFont="1" applyFill="1" applyBorder="1" applyAlignment="1">
      <alignment vertical="center" wrapText="1"/>
    </xf>
    <xf numFmtId="179" fontId="19" fillId="7" borderId="1" xfId="3" applyNumberFormat="1" applyFont="1" applyFill="1" applyBorder="1" applyAlignment="1">
      <alignment vertical="center" wrapText="1"/>
    </xf>
    <xf numFmtId="179" fontId="9" fillId="7" borderId="1" xfId="6" applyNumberFormat="1" applyFont="1" applyFill="1" applyBorder="1" applyAlignment="1">
      <alignment horizontal="center" vertical="center"/>
    </xf>
    <xf numFmtId="178" fontId="11" fillId="7" borderId="3" xfId="62" applyNumberFormat="1" applyFont="1" applyFill="1" applyBorder="1" applyAlignment="1" applyProtection="1">
      <alignment horizontal="center" vertical="center" wrapText="1"/>
    </xf>
    <xf numFmtId="0" fontId="9" fillId="7" borderId="1" xfId="61" applyNumberFormat="1" applyFont="1" applyFill="1" applyBorder="1" applyAlignment="1">
      <alignment horizontal="left" vertical="center" wrapText="1"/>
    </xf>
    <xf numFmtId="179" fontId="9" fillId="7" borderId="1" xfId="26" applyNumberFormat="1" applyFont="1" applyFill="1" applyBorder="1" applyAlignment="1">
      <alignment horizontal="left" vertical="center" wrapText="1"/>
    </xf>
    <xf numFmtId="0" fontId="9" fillId="7" borderId="1" xfId="61" applyNumberFormat="1" applyFont="1" applyFill="1" applyBorder="1" applyAlignment="1">
      <alignment horizontal="center" vertical="center"/>
    </xf>
    <xf numFmtId="0" fontId="9" fillId="7" borderId="3" xfId="69" applyFont="1" applyFill="1" applyBorder="1" applyAlignment="1">
      <alignment horizontal="center" vertical="center" wrapText="1"/>
    </xf>
    <xf numFmtId="177" fontId="2" fillId="3" borderId="4" xfId="0" applyNumberFormat="1" applyFont="1" applyFill="1" applyBorder="1" applyAlignment="1">
      <alignment horizontal="center" vertical="center" wrapText="1"/>
    </xf>
    <xf numFmtId="177" fontId="2" fillId="3" borderId="4" xfId="0" applyNumberFormat="1" applyFont="1" applyFill="1" applyBorder="1" applyAlignment="1">
      <alignment horizontal="center" vertical="center"/>
    </xf>
    <xf numFmtId="177" fontId="25" fillId="3" borderId="4" xfId="0" applyNumberFormat="1" applyFont="1" applyFill="1" applyBorder="1" applyAlignment="1">
      <alignment horizontal="center" vertical="center" wrapText="1"/>
    </xf>
    <xf numFmtId="177" fontId="11" fillId="0" borderId="3" xfId="62" applyNumberFormat="1" applyFont="1" applyFill="1" applyBorder="1" applyAlignment="1" applyProtection="1">
      <alignment horizontal="center" vertical="center" wrapText="1"/>
    </xf>
    <xf numFmtId="177" fontId="2" fillId="8" borderId="1" xfId="16" applyNumberFormat="1" applyFont="1" applyFill="1" applyBorder="1" applyAlignment="1">
      <alignment vertical="center" wrapText="1"/>
    </xf>
    <xf numFmtId="179" fontId="2" fillId="8" borderId="1" xfId="71" applyNumberFormat="1" applyFont="1" applyFill="1" applyBorder="1" applyAlignment="1">
      <alignment horizontal="left" vertical="center" wrapText="1"/>
    </xf>
    <xf numFmtId="179" fontId="2" fillId="8" borderId="1" xfId="71" applyNumberFormat="1" applyFont="1" applyFill="1" applyBorder="1" applyAlignment="1">
      <alignment vertical="center" wrapText="1"/>
    </xf>
    <xf numFmtId="179" fontId="2" fillId="8" borderId="1" xfId="6" applyNumberFormat="1" applyFont="1" applyFill="1" applyBorder="1" applyAlignment="1">
      <alignment horizontal="center" vertical="center"/>
    </xf>
    <xf numFmtId="177" fontId="11" fillId="8" borderId="3" xfId="62" applyNumberFormat="1" applyFont="1" applyFill="1" applyBorder="1" applyAlignment="1" applyProtection="1">
      <alignment horizontal="center" vertical="center" wrapText="1"/>
    </xf>
    <xf numFmtId="177" fontId="9" fillId="0" borderId="1" xfId="16" applyNumberFormat="1" applyFont="1" applyFill="1" applyBorder="1" applyAlignment="1">
      <alignment horizontal="left" vertical="center" wrapText="1"/>
    </xf>
    <xf numFmtId="179" fontId="9" fillId="0" borderId="1" xfId="71" applyNumberFormat="1" applyFont="1" applyFill="1" applyBorder="1" applyAlignment="1">
      <alignment horizontal="left" vertical="center" wrapText="1"/>
    </xf>
    <xf numFmtId="179" fontId="2" fillId="10" borderId="1" xfId="26" applyNumberFormat="1" applyFont="1" applyFill="1" applyBorder="1" applyAlignment="1">
      <alignment horizontal="left" vertical="center" wrapText="1"/>
    </xf>
    <xf numFmtId="179" fontId="2" fillId="10" borderId="1" xfId="30" applyNumberFormat="1" applyFont="1" applyFill="1" applyBorder="1" applyAlignment="1">
      <alignment horizontal="left" vertical="center" wrapText="1"/>
    </xf>
    <xf numFmtId="179" fontId="2" fillId="10" borderId="1" xfId="71" applyNumberFormat="1" applyFont="1" applyFill="1" applyBorder="1" applyAlignment="1">
      <alignment vertical="center" wrapText="1"/>
    </xf>
    <xf numFmtId="179" fontId="2" fillId="10" borderId="1" xfId="26"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11" fillId="5" borderId="3" xfId="62" applyNumberFormat="1" applyFont="1" applyFill="1" applyBorder="1" applyAlignment="1" applyProtection="1">
      <alignment horizontal="center" vertical="center" wrapText="1"/>
    </xf>
    <xf numFmtId="177" fontId="11" fillId="5" borderId="6" xfId="62" applyNumberFormat="1"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 fillId="7" borderId="1" xfId="0" applyNumberFormat="1" applyFont="1" applyFill="1" applyBorder="1" applyAlignment="1" applyProtection="1">
      <alignment horizontal="left" vertical="center" wrapText="1"/>
    </xf>
    <xf numFmtId="0" fontId="11" fillId="7" borderId="1" xfId="0" applyFont="1" applyFill="1" applyBorder="1" applyAlignment="1">
      <alignment horizontal="center" vertical="center" wrapText="1"/>
    </xf>
    <xf numFmtId="0" fontId="19" fillId="8" borderId="1" xfId="26" applyFont="1" applyFill="1" applyBorder="1" applyAlignment="1">
      <alignment horizontal="left" vertical="center" wrapText="1"/>
    </xf>
    <xf numFmtId="0" fontId="19" fillId="8" borderId="1" xfId="30" applyFont="1" applyFill="1" applyBorder="1" applyAlignment="1">
      <alignment horizontal="left" vertical="center" wrapText="1"/>
    </xf>
    <xf numFmtId="2" fontId="2" fillId="0" borderId="1" xfId="0" applyNumberFormat="1" applyFont="1" applyFill="1" applyBorder="1" applyAlignment="1" applyProtection="1">
      <alignment horizontal="center" vertical="center" wrapText="1"/>
    </xf>
    <xf numFmtId="179" fontId="2" fillId="0" borderId="1" xfId="71" applyNumberFormat="1" applyFont="1" applyFill="1" applyBorder="1" applyAlignment="1">
      <alignment horizontal="left" vertical="center" wrapText="1"/>
    </xf>
    <xf numFmtId="179" fontId="9" fillId="0" borderId="1" xfId="71" applyNumberFormat="1" applyFont="1" applyFill="1" applyBorder="1" applyAlignment="1">
      <alignment vertical="center" wrapText="1"/>
    </xf>
    <xf numFmtId="0" fontId="17" fillId="11" borderId="1" xfId="0" applyFont="1" applyFill="1" applyBorder="1" applyAlignment="1">
      <alignment horizontal="center" vertical="center" wrapText="1"/>
    </xf>
    <xf numFmtId="10" fontId="17" fillId="11" borderId="1" xfId="0" applyNumberFormat="1"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49" fontId="9" fillId="12" borderId="1" xfId="0" applyNumberFormat="1" applyFont="1" applyFill="1" applyBorder="1" applyAlignment="1">
      <alignment horizontal="center" vertical="center"/>
    </xf>
    <xf numFmtId="49" fontId="9" fillId="12" borderId="1" xfId="0" applyNumberFormat="1" applyFont="1" applyFill="1" applyBorder="1" applyAlignment="1">
      <alignment horizontal="left" vertical="center"/>
    </xf>
    <xf numFmtId="0" fontId="2" fillId="12" borderId="1" xfId="0" applyFont="1" applyFill="1" applyBorder="1" applyAlignment="1">
      <alignment horizontal="center" vertical="center" wrapText="1"/>
    </xf>
    <xf numFmtId="177" fontId="2" fillId="12" borderId="1" xfId="0" applyNumberFormat="1" applyFont="1" applyFill="1" applyBorder="1" applyAlignment="1">
      <alignment horizontal="center" vertical="center" wrapText="1"/>
    </xf>
    <xf numFmtId="177" fontId="2" fillId="12" borderId="1" xfId="0" applyNumberFormat="1" applyFont="1" applyFill="1" applyBorder="1" applyAlignment="1">
      <alignment horizontal="center" vertical="center"/>
    </xf>
    <xf numFmtId="177" fontId="11" fillId="13" borderId="1" xfId="62" applyNumberFormat="1" applyFont="1" applyFill="1" applyBorder="1" applyAlignment="1" applyProtection="1">
      <alignment horizontal="center" vertical="center" wrapText="1"/>
    </xf>
    <xf numFmtId="177" fontId="11" fillId="13" borderId="3" xfId="62" applyNumberFormat="1" applyFont="1" applyFill="1" applyBorder="1" applyAlignment="1" applyProtection="1">
      <alignment horizontal="center" vertical="center" wrapText="1"/>
    </xf>
    <xf numFmtId="177" fontId="11" fillId="13" borderId="6" xfId="62" applyNumberFormat="1" applyFont="1" applyFill="1" applyBorder="1" applyAlignment="1" applyProtection="1">
      <alignment horizontal="center" vertical="center" wrapText="1"/>
    </xf>
    <xf numFmtId="0" fontId="2" fillId="12" borderId="1" xfId="0" applyFont="1" applyFill="1" applyBorder="1" applyAlignment="1">
      <alignment horizontal="left" vertical="center" wrapText="1"/>
    </xf>
    <xf numFmtId="0" fontId="9" fillId="10" borderId="1" xfId="69"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left" vertical="center" wrapText="1"/>
    </xf>
    <xf numFmtId="0" fontId="11" fillId="10" borderId="1" xfId="0" applyFont="1" applyFill="1" applyBorder="1" applyAlignment="1">
      <alignment horizontal="left" vertical="center" wrapText="1"/>
    </xf>
    <xf numFmtId="177" fontId="2" fillId="10" borderId="1" xfId="0" applyNumberFormat="1" applyFont="1" applyFill="1" applyBorder="1" applyAlignment="1">
      <alignment horizontal="center" vertical="center" wrapText="1"/>
    </xf>
    <xf numFmtId="0" fontId="9" fillId="10" borderId="1" xfId="69" applyFont="1" applyFill="1" applyBorder="1" applyAlignment="1">
      <alignment horizontal="center" vertical="center" wrapText="1"/>
    </xf>
    <xf numFmtId="177" fontId="11" fillId="10" borderId="1" xfId="62" applyNumberFormat="1" applyFont="1" applyFill="1" applyBorder="1" applyAlignment="1" applyProtection="1">
      <alignment horizontal="center" vertical="center" wrapText="1"/>
    </xf>
    <xf numFmtId="179" fontId="9" fillId="0" borderId="1" xfId="43" applyNumberFormat="1" applyFont="1" applyFill="1" applyBorder="1" applyAlignment="1">
      <alignment horizontal="left" vertical="center" wrapText="1"/>
    </xf>
    <xf numFmtId="179" fontId="9" fillId="0" borderId="1" xfId="3" applyNumberFormat="1" applyFont="1" applyFill="1" applyBorder="1" applyAlignment="1">
      <alignment horizontal="left" vertical="center" wrapText="1"/>
    </xf>
    <xf numFmtId="179" fontId="9" fillId="0" borderId="1" xfId="26" applyNumberFormat="1" applyFont="1" applyFill="1" applyBorder="1" applyAlignment="1">
      <alignment horizontal="center" vertical="center" wrapText="1"/>
    </xf>
    <xf numFmtId="2" fontId="26" fillId="0" borderId="1" xfId="0" applyNumberFormat="1" applyFont="1" applyFill="1" applyBorder="1" applyAlignment="1" applyProtection="1">
      <alignment horizontal="left" vertical="center" wrapText="1"/>
    </xf>
    <xf numFmtId="0" fontId="26" fillId="0" borderId="1" xfId="67"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177" fontId="26" fillId="0" borderId="1" xfId="0" applyNumberFormat="1" applyFont="1" applyBorder="1" applyAlignment="1">
      <alignment horizontal="center" vertical="center" wrapText="1"/>
    </xf>
    <xf numFmtId="178" fontId="26" fillId="0" borderId="1" xfId="62" applyNumberFormat="1" applyFont="1" applyFill="1" applyBorder="1" applyAlignment="1" applyProtection="1">
      <alignment horizontal="center" vertical="center" wrapText="1"/>
    </xf>
    <xf numFmtId="177" fontId="26" fillId="13" borderId="1" xfId="62" applyNumberFormat="1" applyFont="1" applyFill="1" applyBorder="1" applyAlignment="1" applyProtection="1">
      <alignment horizontal="center" vertical="center" wrapText="1"/>
    </xf>
    <xf numFmtId="177" fontId="26" fillId="0" borderId="1" xfId="16" applyNumberFormat="1" applyFont="1" applyFill="1" applyBorder="1" applyAlignment="1">
      <alignment horizontal="left" vertical="center" wrapText="1"/>
    </xf>
    <xf numFmtId="179" fontId="26" fillId="0" borderId="1" xfId="71" applyNumberFormat="1" applyFont="1" applyFill="1" applyBorder="1" applyAlignment="1">
      <alignment horizontal="left" vertical="center" wrapText="1"/>
    </xf>
    <xf numFmtId="179" fontId="26" fillId="0" borderId="1" xfId="6" applyNumberFormat="1" applyFont="1" applyFill="1" applyBorder="1" applyAlignment="1">
      <alignment horizontal="center" vertical="center"/>
    </xf>
    <xf numFmtId="0" fontId="9" fillId="14" borderId="1" xfId="69" applyNumberFormat="1" applyFont="1" applyFill="1" applyBorder="1" applyAlignment="1" applyProtection="1">
      <alignment horizontal="center" vertical="center" wrapText="1"/>
    </xf>
    <xf numFmtId="49" fontId="20"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177" fontId="2" fillId="11" borderId="1" xfId="0" applyNumberFormat="1" applyFont="1" applyFill="1" applyBorder="1" applyAlignment="1">
      <alignment horizontal="center" vertical="center" wrapText="1"/>
    </xf>
    <xf numFmtId="177" fontId="2" fillId="11" borderId="1" xfId="0" applyNumberFormat="1" applyFont="1" applyFill="1" applyBorder="1" applyAlignment="1">
      <alignment horizontal="center" vertical="center"/>
    </xf>
    <xf numFmtId="177" fontId="17" fillId="11" borderId="1" xfId="0" applyNumberFormat="1" applyFont="1" applyFill="1" applyBorder="1" applyAlignment="1">
      <alignment horizontal="center" vertical="center" wrapText="1"/>
    </xf>
    <xf numFmtId="177" fontId="17" fillId="11" borderId="7" xfId="0" applyNumberFormat="1" applyFont="1" applyFill="1" applyBorder="1" applyAlignment="1">
      <alignment horizontal="center" vertical="center" wrapText="1"/>
    </xf>
    <xf numFmtId="177" fontId="17" fillId="11" borderId="5"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177" fontId="17" fillId="11" borderId="4" xfId="0" applyNumberFormat="1" applyFont="1" applyFill="1" applyBorder="1" applyAlignment="1">
      <alignment horizontal="center" vertical="center" wrapText="1"/>
    </xf>
    <xf numFmtId="177" fontId="11" fillId="12" borderId="1" xfId="0" applyNumberFormat="1" applyFont="1" applyFill="1" applyBorder="1" applyAlignment="1">
      <alignment horizontal="center" vertical="center" wrapText="1"/>
    </xf>
    <xf numFmtId="177" fontId="11" fillId="10" borderId="1" xfId="0"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177" fontId="25" fillId="11" borderId="1" xfId="0" applyNumberFormat="1" applyFont="1" applyFill="1" applyBorder="1" applyAlignment="1">
      <alignment horizontal="center" vertical="center" wrapText="1"/>
    </xf>
    <xf numFmtId="0" fontId="0" fillId="9" borderId="0" xfId="0" applyFill="1" applyAlignment="1">
      <alignment horizontal="center" vertical="center"/>
    </xf>
    <xf numFmtId="0" fontId="2" fillId="15" borderId="0" xfId="0" applyFont="1" applyFill="1" applyBorder="1" applyAlignment="1">
      <alignment horizontal="center" vertical="center"/>
    </xf>
    <xf numFmtId="0" fontId="2" fillId="9" borderId="0" xfId="0" applyFont="1" applyFill="1" applyBorder="1" applyAlignment="1">
      <alignment horizontal="center" vertical="center"/>
    </xf>
    <xf numFmtId="179" fontId="9" fillId="0" borderId="1" xfId="26" applyNumberFormat="1" applyFont="1" applyFill="1" applyBorder="1" applyAlignment="1" applyProtection="1">
      <alignment horizontal="left" vertical="center" wrapText="1"/>
    </xf>
    <xf numFmtId="179" fontId="9" fillId="0" borderId="1" xfId="26" applyNumberFormat="1" applyFont="1" applyFill="1" applyBorder="1" applyAlignment="1" applyProtection="1">
      <alignment horizontal="center" vertical="center"/>
    </xf>
    <xf numFmtId="0" fontId="2" fillId="10" borderId="1" xfId="67" applyFont="1" applyFill="1" applyBorder="1" applyAlignment="1" applyProtection="1">
      <alignment horizontal="left" vertical="center" wrapText="1"/>
    </xf>
    <xf numFmtId="177" fontId="9" fillId="10" borderId="1" xfId="69" applyNumberFormat="1" applyFont="1" applyFill="1" applyBorder="1" applyAlignment="1">
      <alignment horizontal="center" vertical="center" wrapText="1"/>
    </xf>
    <xf numFmtId="0" fontId="9" fillId="0" borderId="1" xfId="26" applyFont="1" applyFill="1" applyBorder="1" applyAlignment="1">
      <alignment horizontal="left" vertical="center" wrapText="1"/>
    </xf>
    <xf numFmtId="0" fontId="9" fillId="0" borderId="1" xfId="30" applyFont="1" applyFill="1" applyBorder="1" applyAlignment="1">
      <alignment horizontal="left" vertical="center" wrapText="1"/>
    </xf>
    <xf numFmtId="0" fontId="9" fillId="0" borderId="1" xfId="71" applyFont="1" applyFill="1" applyBorder="1" applyAlignment="1">
      <alignment horizontal="left" vertical="center" wrapText="1"/>
    </xf>
    <xf numFmtId="0" fontId="9" fillId="0" borderId="1" xfId="26" applyFont="1" applyFill="1" applyBorder="1" applyAlignment="1">
      <alignment horizontal="center" vertical="center"/>
    </xf>
    <xf numFmtId="0" fontId="19" fillId="10" borderId="1" xfId="60" applyNumberFormat="1" applyFont="1" applyFill="1" applyBorder="1" applyAlignment="1">
      <alignment horizontal="left" vertical="center" wrapText="1" shrinkToFit="1"/>
    </xf>
    <xf numFmtId="177" fontId="11" fillId="0" borderId="0" xfId="62" applyNumberFormat="1" applyFont="1" applyFill="1" applyBorder="1" applyAlignment="1" applyProtection="1">
      <alignment horizontal="center" vertical="center" wrapText="1"/>
    </xf>
    <xf numFmtId="177" fontId="11" fillId="7" borderId="0" xfId="62" applyNumberFormat="1" applyFont="1" applyFill="1" applyBorder="1" applyAlignment="1" applyProtection="1">
      <alignment horizontal="center" vertical="center" wrapText="1"/>
    </xf>
    <xf numFmtId="0" fontId="2" fillId="10" borderId="0" xfId="0" applyFont="1" applyFill="1" applyBorder="1" applyAlignment="1">
      <alignment horizontal="center" vertical="center"/>
    </xf>
    <xf numFmtId="0" fontId="2" fillId="10" borderId="0" xfId="0" applyFont="1" applyFill="1" applyAlignment="1">
      <alignment horizontal="center" vertical="center"/>
    </xf>
    <xf numFmtId="177" fontId="2" fillId="10" borderId="1" xfId="0" applyNumberFormat="1" applyFont="1" applyFill="1" applyBorder="1" applyAlignment="1">
      <alignment horizontal="left" vertical="center" wrapText="1"/>
    </xf>
    <xf numFmtId="177" fontId="2" fillId="10" borderId="1" xfId="0" applyNumberFormat="1" applyFont="1" applyFill="1" applyBorder="1" applyAlignment="1">
      <alignment horizontal="center" vertical="center"/>
    </xf>
    <xf numFmtId="0" fontId="9" fillId="10" borderId="1" xfId="68" applyFont="1" applyFill="1" applyBorder="1" applyAlignment="1">
      <alignment horizontal="left" vertical="center" wrapText="1"/>
    </xf>
    <xf numFmtId="0" fontId="19" fillId="10" borderId="1" xfId="26" applyFont="1" applyFill="1" applyBorder="1" applyAlignment="1">
      <alignment horizontal="left" vertical="center" wrapText="1"/>
    </xf>
    <xf numFmtId="0" fontId="19" fillId="10" borderId="1" xfId="70" applyNumberFormat="1" applyFont="1" applyFill="1" applyBorder="1" applyAlignment="1">
      <alignment horizontal="left" vertical="center" wrapText="1"/>
    </xf>
    <xf numFmtId="0" fontId="19" fillId="10" borderId="1" xfId="60" applyNumberFormat="1" applyFont="1" applyFill="1" applyBorder="1" applyAlignment="1">
      <alignment horizontal="center" vertical="center" wrapText="1"/>
    </xf>
    <xf numFmtId="179" fontId="9" fillId="10" borderId="1" xfId="26" applyNumberFormat="1" applyFont="1" applyFill="1" applyBorder="1" applyAlignment="1">
      <alignment horizontal="left" vertical="center" wrapText="1"/>
    </xf>
    <xf numFmtId="179" fontId="9" fillId="10" borderId="1" xfId="70" applyNumberFormat="1" applyFont="1" applyFill="1" applyBorder="1" applyAlignment="1">
      <alignment horizontal="left" vertical="center" wrapText="1"/>
    </xf>
    <xf numFmtId="179" fontId="9" fillId="10" borderId="1" xfId="26" applyNumberFormat="1" applyFont="1" applyFill="1" applyBorder="1" applyAlignment="1">
      <alignment vertical="center" wrapText="1"/>
    </xf>
    <xf numFmtId="179" fontId="9" fillId="10" borderId="1" xfId="26" applyNumberFormat="1" applyFont="1" applyFill="1" applyBorder="1" applyAlignment="1">
      <alignment horizontal="center" vertical="center"/>
    </xf>
    <xf numFmtId="0" fontId="19" fillId="10" borderId="1" xfId="66" applyFont="1" applyFill="1" applyBorder="1" applyAlignment="1">
      <alignment horizontal="left" vertical="center" wrapText="1"/>
    </xf>
    <xf numFmtId="0" fontId="19" fillId="10" borderId="1" xfId="73" applyNumberFormat="1" applyFont="1" applyFill="1" applyBorder="1" applyAlignment="1">
      <alignment horizontal="left" vertical="center" wrapText="1"/>
    </xf>
    <xf numFmtId="0" fontId="19" fillId="10" borderId="1" xfId="30" applyFont="1" applyFill="1" applyBorder="1" applyAlignment="1">
      <alignment horizontal="left" vertical="center" wrapText="1"/>
    </xf>
    <xf numFmtId="0" fontId="2" fillId="10" borderId="1" xfId="0" applyFont="1" applyFill="1" applyBorder="1" applyAlignment="1" applyProtection="1">
      <alignment horizontal="left" vertical="center" wrapText="1"/>
    </xf>
    <xf numFmtId="0" fontId="2" fillId="10" borderId="1" xfId="51" applyFont="1" applyFill="1" applyBorder="1" applyAlignment="1" applyProtection="1">
      <alignment horizontal="left" vertical="center" wrapText="1"/>
    </xf>
    <xf numFmtId="179" fontId="9" fillId="10" borderId="1" xfId="43" applyNumberFormat="1" applyFont="1" applyFill="1" applyBorder="1" applyAlignment="1">
      <alignment horizontal="left" vertical="center" wrapText="1"/>
    </xf>
    <xf numFmtId="179" fontId="9" fillId="10" borderId="1" xfId="3" applyNumberFormat="1" applyFont="1" applyFill="1" applyBorder="1" applyAlignment="1">
      <alignment horizontal="left" vertical="center" wrapText="1"/>
    </xf>
    <xf numFmtId="179" fontId="9" fillId="10" borderId="1" xfId="26" applyNumberFormat="1" applyFont="1" applyFill="1" applyBorder="1" applyAlignment="1">
      <alignment horizontal="center" vertical="center" wrapText="1"/>
    </xf>
    <xf numFmtId="177" fontId="9" fillId="10" borderId="1" xfId="16" applyNumberFormat="1" applyFont="1" applyFill="1" applyBorder="1" applyAlignment="1">
      <alignment horizontal="left" vertical="center" wrapText="1"/>
    </xf>
    <xf numFmtId="179" fontId="9" fillId="10" borderId="1" xfId="71" applyNumberFormat="1" applyFont="1" applyFill="1" applyBorder="1" applyAlignment="1">
      <alignment horizontal="left" vertical="center" wrapText="1"/>
    </xf>
    <xf numFmtId="179" fontId="19" fillId="10" borderId="1" xfId="3" applyNumberFormat="1" applyFont="1" applyFill="1" applyBorder="1" applyAlignment="1">
      <alignment vertical="center" wrapText="1"/>
    </xf>
    <xf numFmtId="179" fontId="9" fillId="10" borderId="1" xfId="6" applyNumberFormat="1" applyFont="1" applyFill="1" applyBorder="1" applyAlignment="1">
      <alignment horizontal="center" vertical="center"/>
    </xf>
    <xf numFmtId="0" fontId="9" fillId="10" borderId="1" xfId="0" applyFont="1" applyFill="1" applyBorder="1" applyAlignment="1" applyProtection="1">
      <alignment horizontal="left" vertical="center" wrapText="1"/>
    </xf>
    <xf numFmtId="0" fontId="9" fillId="10" borderId="1" xfId="67" applyFont="1" applyFill="1" applyBorder="1" applyAlignment="1" applyProtection="1">
      <alignment horizontal="left" vertical="center" wrapText="1"/>
    </xf>
    <xf numFmtId="178" fontId="11" fillId="10" borderId="1" xfId="62" applyNumberFormat="1" applyFont="1" applyFill="1" applyBorder="1" applyAlignment="1" applyProtection="1">
      <alignment horizontal="center" vertical="center" wrapText="1"/>
    </xf>
    <xf numFmtId="0" fontId="19" fillId="10" borderId="1" xfId="26" applyNumberFormat="1" applyFont="1" applyFill="1" applyBorder="1" applyAlignment="1">
      <alignment horizontal="left" vertical="center" wrapText="1"/>
    </xf>
    <xf numFmtId="0" fontId="17" fillId="0" borderId="0" xfId="0" applyFont="1" applyFill="1" applyBorder="1" applyAlignment="1">
      <alignment horizontal="center" vertical="center" wrapText="1"/>
    </xf>
    <xf numFmtId="177" fontId="2" fillId="9" borderId="0" xfId="0" applyNumberFormat="1" applyFont="1" applyFill="1" applyBorder="1" applyAlignment="1">
      <alignment horizontal="center" vertical="center"/>
    </xf>
    <xf numFmtId="177" fontId="11" fillId="10" borderId="0" xfId="62"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vertical="center"/>
    </xf>
    <xf numFmtId="0" fontId="29" fillId="16" borderId="8" xfId="74" applyNumberFormat="1" applyFont="1" applyFill="1" applyBorder="1" applyAlignment="1" applyProtection="1">
      <alignment horizontal="center" vertical="center"/>
    </xf>
    <xf numFmtId="179" fontId="30" fillId="0" borderId="0" xfId="12" applyNumberFormat="1" applyFont="1" applyAlignment="1" applyProtection="1">
      <alignment vertical="center"/>
    </xf>
    <xf numFmtId="0" fontId="31" fillId="16" borderId="1" xfId="74" applyNumberFormat="1" applyFont="1" applyFill="1" applyBorder="1" applyAlignment="1" applyProtection="1">
      <alignment horizontal="center" vertical="center"/>
    </xf>
    <xf numFmtId="0" fontId="31" fillId="16" borderId="1" xfId="74" applyNumberFormat="1" applyFont="1" applyFill="1" applyBorder="1" applyAlignment="1" applyProtection="1">
      <alignment horizontal="center" vertical="center" wrapText="1"/>
    </xf>
    <xf numFmtId="0" fontId="31" fillId="16" borderId="1" xfId="74" applyNumberFormat="1" applyFont="1" applyFill="1" applyBorder="1" applyAlignment="1" applyProtection="1">
      <alignment horizontal="left" vertical="center"/>
    </xf>
    <xf numFmtId="0" fontId="31" fillId="0" borderId="1" xfId="74" applyNumberFormat="1" applyFont="1" applyFill="1" applyBorder="1" applyAlignment="1" applyProtection="1">
      <alignment horizontal="center" vertical="center"/>
    </xf>
    <xf numFmtId="0" fontId="31" fillId="16" borderId="1" xfId="74" applyNumberFormat="1" applyFont="1" applyFill="1" applyBorder="1" applyAlignment="1" applyProtection="1">
      <alignment horizontal="left" vertical="center" wrapText="1"/>
    </xf>
    <xf numFmtId="180" fontId="31" fillId="16" borderId="9" xfId="76" applyNumberFormat="1" applyFont="1" applyFill="1" applyBorder="1" applyAlignment="1" applyProtection="1">
      <alignment horizontal="left" vertical="center"/>
    </xf>
    <xf numFmtId="180" fontId="31" fillId="16" borderId="9" xfId="76" applyNumberFormat="1" applyFont="1" applyFill="1" applyBorder="1" applyAlignment="1" applyProtection="1">
      <alignment horizontal="center" vertical="center"/>
    </xf>
    <xf numFmtId="0" fontId="31" fillId="16" borderId="9" xfId="76" applyNumberFormat="1" applyFont="1" applyFill="1" applyBorder="1" applyAlignment="1" applyProtection="1">
      <alignment horizontal="center" vertical="center"/>
    </xf>
    <xf numFmtId="180" fontId="31" fillId="16" borderId="9" xfId="76" applyNumberFormat="1" applyFont="1" applyFill="1" applyBorder="1" applyAlignment="1" applyProtection="1">
      <alignment horizontal="left" vertical="center" wrapText="1"/>
    </xf>
    <xf numFmtId="176" fontId="19" fillId="16" borderId="1" xfId="0" applyNumberFormat="1" applyFont="1" applyFill="1" applyBorder="1" applyAlignment="1" applyProtection="1">
      <alignment horizontal="left" vertical="center" wrapText="1"/>
    </xf>
    <xf numFmtId="0" fontId="19" fillId="16" borderId="1" xfId="75" applyNumberFormat="1" applyFont="1" applyFill="1" applyBorder="1" applyAlignment="1" applyProtection="1">
      <alignment horizontal="center" vertical="center"/>
    </xf>
    <xf numFmtId="0" fontId="19" fillId="16" borderId="1" xfId="75" applyNumberFormat="1" applyFont="1" applyFill="1" applyBorder="1" applyAlignment="1" applyProtection="1">
      <alignment horizontal="left" vertical="center"/>
    </xf>
    <xf numFmtId="0" fontId="19" fillId="16" borderId="1" xfId="75" applyNumberFormat="1" applyFont="1" applyFill="1" applyBorder="1" applyAlignment="1" applyProtection="1">
      <alignment horizontal="left" vertical="center" wrapText="1"/>
    </xf>
    <xf numFmtId="0" fontId="19" fillId="0" borderId="1" xfId="75" applyNumberFormat="1" applyFont="1" applyFill="1" applyBorder="1" applyAlignment="1" applyProtection="1">
      <alignment horizontal="center" vertical="center"/>
    </xf>
    <xf numFmtId="0" fontId="19" fillId="16" borderId="1" xfId="73" applyNumberFormat="1" applyFont="1" applyFill="1" applyBorder="1" applyAlignment="1" applyProtection="1">
      <alignment horizontal="left" vertical="center" wrapText="1"/>
    </xf>
    <xf numFmtId="0" fontId="31" fillId="16" borderId="3" xfId="74" applyNumberFormat="1" applyFont="1" applyFill="1" applyBorder="1" applyAlignment="1" applyProtection="1">
      <alignment horizontal="left" vertical="center" wrapText="1"/>
    </xf>
    <xf numFmtId="0" fontId="31" fillId="16" borderId="10" xfId="74" applyNumberFormat="1" applyFont="1" applyFill="1" applyBorder="1" applyAlignment="1" applyProtection="1">
      <alignment horizontal="left" vertical="center" wrapText="1"/>
    </xf>
    <xf numFmtId="0" fontId="31" fillId="16" borderId="6" xfId="74" applyNumberFormat="1" applyFont="1" applyFill="1" applyBorder="1" applyAlignment="1" applyProtection="1">
      <alignment horizontal="left" vertical="center" wrapText="1"/>
    </xf>
    <xf numFmtId="0" fontId="32" fillId="0" borderId="0" xfId="0" applyFont="1">
      <alignment vertical="center"/>
    </xf>
    <xf numFmtId="0" fontId="33" fillId="0" borderId="0" xfId="0" applyFont="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Border="1" applyAlignment="1">
      <alignment horizontal="center" vertical="center"/>
    </xf>
    <xf numFmtId="0" fontId="3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7" fontId="6" fillId="17"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77" fontId="6" fillId="18" borderId="1" xfId="0" applyNumberFormat="1" applyFont="1" applyFill="1" applyBorder="1" applyAlignment="1">
      <alignment horizontal="center" vertical="center"/>
    </xf>
    <xf numFmtId="177" fontId="6" fillId="19" borderId="1" xfId="0" applyNumberFormat="1" applyFont="1" applyFill="1" applyBorder="1" applyAlignment="1">
      <alignment horizontal="center" vertical="center"/>
    </xf>
    <xf numFmtId="177" fontId="6" fillId="20" borderId="1" xfId="0" applyNumberFormat="1" applyFont="1" applyFill="1" applyBorder="1" applyAlignment="1">
      <alignment horizontal="center" vertical="center"/>
    </xf>
    <xf numFmtId="177" fontId="5" fillId="0" borderId="1" xfId="0" applyNumberFormat="1" applyFont="1" applyBorder="1" applyAlignment="1">
      <alignment horizontal="center" vertical="center"/>
    </xf>
    <xf numFmtId="0" fontId="0" fillId="0" borderId="1" xfId="0" applyBorder="1">
      <alignment vertical="center"/>
    </xf>
    <xf numFmtId="0" fontId="34" fillId="0" borderId="1" xfId="0" applyFont="1" applyBorder="1" applyAlignment="1">
      <alignment horizontal="center" vertical="center"/>
    </xf>
    <xf numFmtId="177" fontId="6" fillId="0" borderId="1" xfId="0" applyNumberFormat="1" applyFont="1" applyFill="1" applyBorder="1" applyAlignment="1">
      <alignment horizontal="center" vertical="center"/>
    </xf>
    <xf numFmtId="0" fontId="35" fillId="21" borderId="1" xfId="0" applyFont="1" applyFill="1" applyBorder="1" applyAlignment="1">
      <alignment horizontal="center" vertical="center"/>
    </xf>
    <xf numFmtId="177" fontId="35" fillId="21" borderId="1" xfId="0" applyNumberFormat="1" applyFont="1" applyFill="1" applyBorder="1" applyAlignment="1">
      <alignment horizontal="center" vertical="center"/>
    </xf>
    <xf numFmtId="0" fontId="36" fillId="0" borderId="0" xfId="0" applyFont="1" applyFill="1">
      <alignment vertical="center"/>
    </xf>
    <xf numFmtId="0" fontId="37" fillId="0" borderId="0" xfId="0" applyFont="1">
      <alignment vertical="center"/>
    </xf>
    <xf numFmtId="0" fontId="37" fillId="10" borderId="0" xfId="0" applyFont="1" applyFill="1">
      <alignment vertical="center"/>
    </xf>
    <xf numFmtId="0" fontId="36" fillId="0" borderId="0" xfId="0" applyFont="1">
      <alignment vertical="center"/>
    </xf>
    <xf numFmtId="0" fontId="36" fillId="0" borderId="0" xfId="0" applyFont="1" applyAlignment="1">
      <alignment horizontal="center" vertical="center" wrapText="1"/>
    </xf>
    <xf numFmtId="0" fontId="38" fillId="0" borderId="0" xfId="0" applyFont="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22" borderId="1" xfId="0" applyFont="1" applyFill="1" applyBorder="1" applyAlignment="1">
      <alignment horizontal="center" vertical="center"/>
    </xf>
    <xf numFmtId="0" fontId="36" fillId="22" borderId="7" xfId="0" applyFont="1" applyFill="1" applyBorder="1" applyAlignment="1">
      <alignment horizontal="center" vertical="center" wrapText="1"/>
    </xf>
    <xf numFmtId="0" fontId="36" fillId="22" borderId="1" xfId="0" applyFont="1" applyFill="1" applyBorder="1">
      <alignment vertical="center"/>
    </xf>
    <xf numFmtId="178" fontId="36" fillId="22" borderId="1" xfId="0" applyNumberFormat="1" applyFont="1" applyFill="1" applyBorder="1">
      <alignment vertical="center"/>
    </xf>
    <xf numFmtId="178" fontId="36" fillId="0" borderId="1" xfId="0" applyNumberFormat="1" applyFont="1" applyFill="1" applyBorder="1">
      <alignment vertical="center"/>
    </xf>
    <xf numFmtId="0" fontId="36" fillId="0" borderId="1" xfId="0" applyFont="1" applyFill="1" applyBorder="1" applyAlignment="1">
      <alignment horizontal="center" vertical="center" wrapText="1"/>
    </xf>
    <xf numFmtId="0" fontId="36" fillId="22" borderId="5" xfId="0" applyFont="1" applyFill="1" applyBorder="1" applyAlignment="1">
      <alignment horizontal="center" vertical="center" wrapText="1"/>
    </xf>
    <xf numFmtId="178" fontId="36" fillId="0" borderId="1" xfId="0" applyNumberFormat="1" applyFont="1" applyBorder="1">
      <alignment vertical="center"/>
    </xf>
    <xf numFmtId="0" fontId="36" fillId="22" borderId="4" xfId="0" applyFont="1" applyFill="1" applyBorder="1" applyAlignment="1">
      <alignment horizontal="center" vertical="center" wrapText="1"/>
    </xf>
    <xf numFmtId="0" fontId="37" fillId="22" borderId="1" xfId="0" applyFont="1" applyFill="1" applyBorder="1" applyAlignment="1">
      <alignment horizontal="center" vertical="center"/>
    </xf>
    <xf numFmtId="0" fontId="37" fillId="22" borderId="1" xfId="0" applyFont="1" applyFill="1" applyBorder="1" applyAlignment="1">
      <alignment horizontal="center" vertical="center" wrapText="1"/>
    </xf>
    <xf numFmtId="0" fontId="37" fillId="22" borderId="1" xfId="0" applyFont="1" applyFill="1" applyBorder="1">
      <alignment vertical="center"/>
    </xf>
    <xf numFmtId="178" fontId="37" fillId="22" borderId="1" xfId="0" applyNumberFormat="1" applyFont="1" applyFill="1" applyBorder="1">
      <alignment vertical="center"/>
    </xf>
    <xf numFmtId="178" fontId="37" fillId="0" borderId="1" xfId="0" applyNumberFormat="1" applyFont="1" applyFill="1" applyBorder="1">
      <alignment vertical="center"/>
    </xf>
    <xf numFmtId="0" fontId="37" fillId="0" borderId="1" xfId="0" applyFont="1" applyBorder="1" applyAlignment="1">
      <alignment horizontal="center" vertical="center" wrapText="1"/>
    </xf>
    <xf numFmtId="0" fontId="36" fillId="23" borderId="7" xfId="0" applyFont="1" applyFill="1" applyBorder="1" applyAlignment="1">
      <alignment horizontal="center" vertical="center"/>
    </xf>
    <xf numFmtId="0" fontId="36" fillId="23" borderId="7" xfId="0" applyFont="1" applyFill="1" applyBorder="1" applyAlignment="1">
      <alignment horizontal="center" vertical="center" wrapText="1"/>
    </xf>
    <xf numFmtId="0" fontId="36" fillId="23" borderId="1" xfId="0" applyFont="1" applyFill="1" applyBorder="1">
      <alignment vertical="center"/>
    </xf>
    <xf numFmtId="178" fontId="36" fillId="23" borderId="11" xfId="0" applyNumberFormat="1" applyFont="1" applyFill="1" applyBorder="1">
      <alignment vertical="center"/>
    </xf>
    <xf numFmtId="0" fontId="39" fillId="23" borderId="1" xfId="0" applyFont="1" applyFill="1" applyBorder="1" applyAlignment="1">
      <alignment horizontal="center" vertical="center" wrapText="1"/>
    </xf>
    <xf numFmtId="0" fontId="36" fillId="23" borderId="5" xfId="0" applyFont="1" applyFill="1" applyBorder="1" applyAlignment="1">
      <alignment horizontal="center" vertical="center"/>
    </xf>
    <xf numFmtId="0" fontId="36" fillId="23" borderId="5" xfId="0" applyFont="1" applyFill="1" applyBorder="1" applyAlignment="1">
      <alignment horizontal="center" vertical="center" wrapText="1"/>
    </xf>
    <xf numFmtId="178" fontId="36" fillId="23" borderId="4" xfId="0" applyNumberFormat="1" applyFont="1" applyFill="1" applyBorder="1">
      <alignment vertical="center"/>
    </xf>
    <xf numFmtId="178" fontId="36" fillId="23" borderId="1" xfId="0" applyNumberFormat="1" applyFont="1" applyFill="1" applyBorder="1">
      <alignment vertical="center"/>
    </xf>
    <xf numFmtId="0" fontId="36" fillId="23" borderId="1"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7" fillId="23" borderId="4" xfId="0" applyFont="1" applyFill="1" applyBorder="1" applyAlignment="1">
      <alignment horizontal="center" vertical="center"/>
    </xf>
    <xf numFmtId="0" fontId="37" fillId="23" borderId="1" xfId="0" applyFont="1" applyFill="1" applyBorder="1" applyAlignment="1">
      <alignment horizontal="center" vertical="center" wrapText="1"/>
    </xf>
    <xf numFmtId="0" fontId="37" fillId="23" borderId="1" xfId="0" applyFont="1" applyFill="1" applyBorder="1">
      <alignment vertical="center"/>
    </xf>
    <xf numFmtId="178" fontId="37" fillId="23" borderId="1" xfId="0" applyNumberFormat="1" applyFont="1" applyFill="1" applyBorder="1">
      <alignment vertical="center"/>
    </xf>
    <xf numFmtId="0" fontId="36" fillId="19" borderId="1" xfId="0" applyFont="1" applyFill="1" applyBorder="1" applyAlignment="1">
      <alignment horizontal="center" vertical="center"/>
    </xf>
    <xf numFmtId="0" fontId="36" fillId="19" borderId="1" xfId="0" applyFont="1" applyFill="1" applyBorder="1" applyAlignment="1">
      <alignment horizontal="center" vertical="center" wrapText="1"/>
    </xf>
    <xf numFmtId="0" fontId="36" fillId="19" borderId="1" xfId="0" applyFont="1" applyFill="1" applyBorder="1">
      <alignment vertical="center"/>
    </xf>
    <xf numFmtId="178" fontId="36" fillId="19" borderId="1" xfId="0" applyNumberFormat="1" applyFont="1" applyFill="1" applyBorder="1">
      <alignment vertical="center"/>
    </xf>
    <xf numFmtId="0" fontId="37" fillId="19" borderId="1" xfId="0" applyFont="1" applyFill="1" applyBorder="1" applyAlignment="1">
      <alignment horizontal="center" vertical="center"/>
    </xf>
    <xf numFmtId="0" fontId="37" fillId="19" borderId="6"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7" fillId="19" borderId="1" xfId="0" applyFont="1" applyFill="1" applyBorder="1">
      <alignment vertical="center"/>
    </xf>
    <xf numFmtId="178" fontId="37" fillId="19" borderId="1" xfId="0" applyNumberFormat="1" applyFont="1" applyFill="1" applyBorder="1">
      <alignment vertical="center"/>
    </xf>
    <xf numFmtId="0" fontId="36" fillId="17" borderId="7" xfId="0" applyFont="1" applyFill="1" applyBorder="1" applyAlignment="1">
      <alignment horizontal="center" vertical="center"/>
    </xf>
    <xf numFmtId="0" fontId="36" fillId="17" borderId="7" xfId="0" applyFont="1" applyFill="1" applyBorder="1" applyAlignment="1">
      <alignment horizontal="center" vertical="center" wrapText="1"/>
    </xf>
    <xf numFmtId="0" fontId="36" fillId="17" borderId="1" xfId="0" applyFont="1" applyFill="1" applyBorder="1">
      <alignment vertical="center"/>
    </xf>
    <xf numFmtId="178" fontId="36" fillId="17" borderId="1" xfId="0" applyNumberFormat="1" applyFont="1" applyFill="1" applyBorder="1">
      <alignment vertical="center"/>
    </xf>
    <xf numFmtId="0" fontId="36" fillId="17" borderId="1" xfId="0" applyFont="1" applyFill="1" applyBorder="1" applyAlignment="1">
      <alignment horizontal="center" vertical="center" wrapText="1"/>
    </xf>
    <xf numFmtId="0" fontId="36" fillId="17" borderId="5" xfId="0" applyFont="1" applyFill="1" applyBorder="1" applyAlignment="1">
      <alignment horizontal="center" vertical="center"/>
    </xf>
    <xf numFmtId="0" fontId="36" fillId="17" borderId="4" xfId="0" applyFont="1" applyFill="1" applyBorder="1" applyAlignment="1">
      <alignment horizontal="center" vertical="center" wrapText="1"/>
    </xf>
    <xf numFmtId="0" fontId="36" fillId="17" borderId="5" xfId="0" applyFont="1" applyFill="1" applyBorder="1" applyAlignment="1">
      <alignment horizontal="center" vertical="center" wrapText="1"/>
    </xf>
    <xf numFmtId="178" fontId="36" fillId="17" borderId="11" xfId="0" applyNumberFormat="1" applyFont="1" applyFill="1" applyBorder="1">
      <alignment vertical="center"/>
    </xf>
    <xf numFmtId="0" fontId="39" fillId="17" borderId="1" xfId="0" applyFont="1" applyFill="1" applyBorder="1" applyAlignment="1">
      <alignment horizontal="center" vertical="center" wrapText="1"/>
    </xf>
    <xf numFmtId="0" fontId="37" fillId="17" borderId="4" xfId="0" applyFont="1" applyFill="1" applyBorder="1" applyAlignment="1">
      <alignment horizontal="center" vertical="center"/>
    </xf>
    <xf numFmtId="0" fontId="37" fillId="17" borderId="6"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7" fillId="17" borderId="1" xfId="0" applyFont="1" applyFill="1" applyBorder="1">
      <alignment vertical="center"/>
    </xf>
    <xf numFmtId="178" fontId="37" fillId="17" borderId="1" xfId="0" applyNumberFormat="1" applyFont="1" applyFill="1" applyBorder="1">
      <alignment vertical="center"/>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37" fillId="0" borderId="1" xfId="0" applyFont="1" applyBorder="1">
      <alignment vertical="center"/>
    </xf>
    <xf numFmtId="178" fontId="37" fillId="0" borderId="1" xfId="0" applyNumberFormat="1" applyFont="1" applyBorder="1">
      <alignment vertical="center"/>
    </xf>
    <xf numFmtId="0" fontId="40" fillId="0" borderId="0" xfId="0" applyFont="1" applyFill="1" applyBorder="1" applyAlignment="1">
      <alignment vertical="center"/>
    </xf>
    <xf numFmtId="0" fontId="28" fillId="0" borderId="0" xfId="0" applyFont="1" applyFill="1" applyBorder="1" applyAlignment="1">
      <alignment vertical="center"/>
    </xf>
    <xf numFmtId="0" fontId="41" fillId="0" borderId="1" xfId="0" applyFont="1" applyFill="1" applyBorder="1" applyAlignment="1">
      <alignment horizontal="center" vertical="center"/>
    </xf>
    <xf numFmtId="0" fontId="42" fillId="0" borderId="1" xfId="0" applyFont="1" applyFill="1" applyBorder="1" applyAlignment="1">
      <alignment vertical="center"/>
    </xf>
    <xf numFmtId="0" fontId="10" fillId="0" borderId="1" xfId="0" applyFont="1" applyFill="1" applyBorder="1" applyAlignment="1">
      <alignment vertical="center" wrapText="1"/>
    </xf>
    <xf numFmtId="0" fontId="43" fillId="0" borderId="1" xfId="0" applyFont="1" applyFill="1" applyBorder="1" applyAlignment="1">
      <alignment vertical="center" wrapText="1"/>
    </xf>
    <xf numFmtId="0" fontId="44" fillId="0" borderId="0" xfId="0" applyFont="1" applyFill="1" applyBorder="1" applyAlignment="1">
      <alignment vertical="center"/>
    </xf>
    <xf numFmtId="0" fontId="19" fillId="0" borderId="1" xfId="0" applyFont="1" applyFill="1" applyBorder="1" applyAlignment="1">
      <alignment vertical="center" wrapText="1"/>
    </xf>
    <xf numFmtId="0" fontId="40" fillId="0" borderId="1" xfId="0" applyFont="1" applyFill="1" applyBorder="1" applyAlignment="1">
      <alignment vertical="center" wrapText="1"/>
    </xf>
    <xf numFmtId="0" fontId="19" fillId="0" borderId="1" xfId="0" applyFont="1" applyFill="1" applyBorder="1" applyAlignment="1">
      <alignment horizontal="left" vertical="top" wrapText="1"/>
    </xf>
    <xf numFmtId="0" fontId="40" fillId="0" borderId="1" xfId="0" applyFont="1" applyFill="1" applyBorder="1" applyAlignment="1">
      <alignment horizontal="left" vertical="top" wrapText="1"/>
    </xf>
    <xf numFmtId="0" fontId="45" fillId="0" borderId="1" xfId="0" applyFont="1" applyFill="1" applyBorder="1" applyAlignment="1">
      <alignment vertical="center" wrapText="1"/>
    </xf>
  </cellXfs>
  <cellStyles count="77">
    <cellStyle name="常规" xfId="0" builtinId="0"/>
    <cellStyle name="货币[0]" xfId="1" builtinId="7"/>
    <cellStyle name="20% - 强调文字颜色 3" xfId="2" builtinId="38"/>
    <cellStyle name="常规_0928润园西区3套C标精装样板房（批量精装房长沙） 3" xfId="3"/>
    <cellStyle name="输入" xfId="4" builtinId="20"/>
    <cellStyle name="货币" xfId="5" builtinId="4"/>
    <cellStyle name="常规 10 10 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ColLevel_0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常规 2 5 2 4" xfId="26"/>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Normal 3 2" xfId="40"/>
    <cellStyle name="20% - 强调文字颜色 1" xfId="41" builtinId="30"/>
    <cellStyle name="40% - 强调文字颜色 1" xfId="42" builtinId="31"/>
    <cellStyle name="常规 2 5 2 4 2"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S5 3 2 2" xfId="54"/>
    <cellStyle name="强调文字颜色 6" xfId="55" builtinId="49"/>
    <cellStyle name="常规 10" xfId="56"/>
    <cellStyle name="40% - 强调文字颜色 6" xfId="57" builtinId="51"/>
    <cellStyle name="60% - 强调文字颜色 6" xfId="58" builtinId="52"/>
    <cellStyle name="Normal" xfId="59"/>
    <cellStyle name="常规 11" xfId="60"/>
    <cellStyle name="常规 11 2 4" xfId="61"/>
    <cellStyle name="常规 2" xfId="62"/>
    <cellStyle name="常规 2 5 2 2 2" xfId="63"/>
    <cellStyle name="常规 22" xfId="64"/>
    <cellStyle name="常规 24" xfId="65"/>
    <cellStyle name="常规 27" xfId="66"/>
    <cellStyle name="常规 3" xfId="67"/>
    <cellStyle name="常规 36" xfId="68"/>
    <cellStyle name="常规 5_水电 _2" xfId="69"/>
    <cellStyle name="常规_【清单】青山湖名邸C3户型精装样板房" xfId="70"/>
    <cellStyle name="常规_【清单】青山湖名邸C3户型精装样板房 2" xfId="71"/>
    <cellStyle name="样式 1" xfId="72"/>
    <cellStyle name="常规_上海新里程" xfId="73"/>
    <cellStyle name="常规_附件11四季花城北区六期室内装修工程量清单（台州）" xfId="74"/>
    <cellStyle name="常规_金域蓝湾总包工程报价清单0304" xfId="75"/>
    <cellStyle name="常规_附件11四季花城北区六期室内装修工程量清单（台州） 2" xfId="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customXml" Target="../customXml/item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352425</xdr:colOff>
      <xdr:row>28</xdr:row>
      <xdr:rowOff>0</xdr:rowOff>
    </xdr:from>
    <xdr:to>
      <xdr:col>0</xdr:col>
      <xdr:colOff>4587240</xdr:colOff>
      <xdr:row>30</xdr:row>
      <xdr:rowOff>915035</xdr:rowOff>
    </xdr:to>
    <xdr:pic>
      <xdr:nvPicPr>
        <xdr:cNvPr id="2" name="Picture 4"/>
        <xdr:cNvPicPr>
          <a:picLocks noChangeAspect="1" noChangeArrowheads="1"/>
        </xdr:cNvPicPr>
      </xdr:nvPicPr>
      <xdr:blipFill>
        <a:blip r:embed="rId1"/>
        <a:srcRect/>
        <a:stretch>
          <a:fillRect/>
        </a:stretch>
      </xdr:blipFill>
      <xdr:spPr>
        <a:xfrm>
          <a:off x="352425" y="11259820"/>
          <a:ext cx="4234815" cy="192849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QQ\WeChat%20Files\wxid_x71t5wqx00tr22\FileStorage\File\2023-01\&#24037;&#23398;&#38498;&#20849;&#38738;&#26657;&#21306;&#19968;&#26399;&#31934;&#35013;&#20462;&#24037;&#31243;&#37327;&#28165;&#21333;(&#21442;&#3277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3398;&#38498;&#20849;&#38738;&#26657;&#21306;&#19968;&#26399;&#31934;&#35013;&#20462;&#24037;&#31243;&#37327;&#28165;&#21333;&#21457;&#26631;&#29256;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制说明"/>
      <sheetName val="汇总表"/>
      <sheetName val="H艺院1#2#"/>
    </sheetNames>
    <sheetDataSet>
      <sheetData sheetId="0" refreshError="1"/>
      <sheetData sheetId="1" refreshError="1">
        <row r="3">
          <cell r="C3" t="str">
            <v>H艺院1#2#</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Sheet1"/>
      <sheetName val="编制说明"/>
      <sheetName val="标段划分报价汇总表"/>
      <sheetName val="楼栋报价汇总表"/>
      <sheetName val="F食堂2#（F食堂1#）"/>
      <sheetName val="F后勤服务中心"/>
      <sheetName val="F训1#（F训2#）"/>
      <sheetName val="E训1#（A训2#、A训1#、E训2#）"/>
      <sheetName val="A训5#、A训4#（A训3#，H训1#，H训2#）."/>
      <sheetName val="H训3#（H训4#A训6#E训4#E训3#F训3#F训4#"/>
      <sheetName val="F宿9#10（F宿3~8#、F宿11#~14#"/>
      <sheetName val="F宿1#2#（套）"/>
      <sheetName val="F教1#~F教4#、E教1#~E教6#"/>
      <sheetName val="A教1#2#"/>
      <sheetName val="H行政1#-H行政2#"/>
      <sheetName val="H图文信息中心"/>
      <sheetName val="G综合楼"/>
      <sheetName val="F医1#-F医2#"/>
      <sheetName val="H艺院1#2#"/>
      <sheetName val="游泳馆"/>
      <sheetName val="其它工作项目计价表"/>
    </sheetNames>
    <sheetDataSet>
      <sheetData sheetId="0"/>
      <sheetData sheetId="1"/>
      <sheetData sheetId="2"/>
      <sheetData sheetId="3"/>
      <sheetData sheetId="4">
        <row r="3">
          <cell r="D3">
            <v>9295.32</v>
          </cell>
        </row>
        <row r="4">
          <cell r="E4">
            <v>0</v>
          </cell>
        </row>
        <row r="5">
          <cell r="D5">
            <v>9295.32</v>
          </cell>
          <cell r="E5">
            <v>0</v>
          </cell>
        </row>
        <row r="6">
          <cell r="D6">
            <v>8116.02</v>
          </cell>
          <cell r="E6">
            <v>0</v>
          </cell>
        </row>
        <row r="7">
          <cell r="D7">
            <v>8116.02</v>
          </cell>
          <cell r="E7">
            <v>0</v>
          </cell>
        </row>
        <row r="8">
          <cell r="D8">
            <v>8116.02</v>
          </cell>
          <cell r="E8">
            <v>0</v>
          </cell>
        </row>
        <row r="9">
          <cell r="D9">
            <v>8116.02</v>
          </cell>
          <cell r="E9">
            <v>0</v>
          </cell>
        </row>
        <row r="10">
          <cell r="D10">
            <v>8116.02</v>
          </cell>
          <cell r="E10">
            <v>0</v>
          </cell>
        </row>
        <row r="11">
          <cell r="D11">
            <v>8116.02</v>
          </cell>
          <cell r="E11">
            <v>0</v>
          </cell>
        </row>
        <row r="12">
          <cell r="D12">
            <v>6359.48</v>
          </cell>
          <cell r="E12">
            <v>0</v>
          </cell>
        </row>
        <row r="13">
          <cell r="D13">
            <v>6359.48</v>
          </cell>
          <cell r="E13">
            <v>0</v>
          </cell>
        </row>
        <row r="14">
          <cell r="D14">
            <v>6359.48</v>
          </cell>
          <cell r="E14">
            <v>0</v>
          </cell>
        </row>
        <row r="15">
          <cell r="D15">
            <v>6359.48</v>
          </cell>
          <cell r="E15">
            <v>0</v>
          </cell>
        </row>
        <row r="16">
          <cell r="D16">
            <v>6359.48</v>
          </cell>
          <cell r="E16">
            <v>0</v>
          </cell>
        </row>
        <row r="17">
          <cell r="D17">
            <v>6359.48</v>
          </cell>
          <cell r="E17">
            <v>0</v>
          </cell>
        </row>
        <row r="18">
          <cell r="D18">
            <v>6359.48</v>
          </cell>
          <cell r="E18">
            <v>0</v>
          </cell>
        </row>
        <row r="19">
          <cell r="D19">
            <v>6359.48</v>
          </cell>
          <cell r="E19">
            <v>0</v>
          </cell>
        </row>
        <row r="20">
          <cell r="D20">
            <v>6359.48</v>
          </cell>
          <cell r="E20">
            <v>0</v>
          </cell>
        </row>
        <row r="22">
          <cell r="D22">
            <v>6359.48</v>
          </cell>
          <cell r="E22">
            <v>0</v>
          </cell>
        </row>
        <row r="23">
          <cell r="D23">
            <v>6359.48</v>
          </cell>
          <cell r="E23">
            <v>0</v>
          </cell>
        </row>
        <row r="24">
          <cell r="D24">
            <v>13157.01</v>
          </cell>
          <cell r="E24">
            <v>0</v>
          </cell>
        </row>
        <row r="25">
          <cell r="D25">
            <v>13157.01</v>
          </cell>
          <cell r="E25">
            <v>0</v>
          </cell>
        </row>
        <row r="26">
          <cell r="D26">
            <v>13157.01</v>
          </cell>
          <cell r="E26">
            <v>0</v>
          </cell>
        </row>
        <row r="27">
          <cell r="D27">
            <v>13157.01</v>
          </cell>
          <cell r="E27">
            <v>0</v>
          </cell>
        </row>
        <row r="28">
          <cell r="D28">
            <v>13157.01</v>
          </cell>
          <cell r="E28">
            <v>0</v>
          </cell>
        </row>
        <row r="29">
          <cell r="D29">
            <v>13157.01</v>
          </cell>
          <cell r="E29">
            <v>0</v>
          </cell>
        </row>
        <row r="30">
          <cell r="D30">
            <v>14550.64</v>
          </cell>
          <cell r="E30" t="e">
            <v>#REF!</v>
          </cell>
        </row>
        <row r="31">
          <cell r="D31">
            <v>16609.44</v>
          </cell>
          <cell r="E31" t="e">
            <v>#REF!</v>
          </cell>
        </row>
        <row r="32">
          <cell r="D32">
            <v>16609.44</v>
          </cell>
          <cell r="E32">
            <v>0</v>
          </cell>
        </row>
        <row r="33">
          <cell r="D33">
            <v>16609.44</v>
          </cell>
          <cell r="E33">
            <v>0</v>
          </cell>
        </row>
        <row r="34">
          <cell r="D34">
            <v>16609.44</v>
          </cell>
          <cell r="E34">
            <v>0</v>
          </cell>
        </row>
        <row r="35">
          <cell r="D35">
            <v>16609.44</v>
          </cell>
          <cell r="E35">
            <v>0</v>
          </cell>
        </row>
        <row r="36">
          <cell r="D36">
            <v>16609.44</v>
          </cell>
          <cell r="E36">
            <v>0</v>
          </cell>
        </row>
        <row r="37">
          <cell r="D37">
            <v>16609.44</v>
          </cell>
          <cell r="E37">
            <v>0</v>
          </cell>
        </row>
        <row r="38">
          <cell r="D38">
            <v>16764.81</v>
          </cell>
          <cell r="E38" t="e">
            <v>#REF!</v>
          </cell>
        </row>
        <row r="39">
          <cell r="D39">
            <v>47884.95</v>
          </cell>
          <cell r="E39" t="e">
            <v>#REF!</v>
          </cell>
        </row>
        <row r="40">
          <cell r="D40">
            <v>37704.38</v>
          </cell>
          <cell r="E40" t="e">
            <v>#REF!</v>
          </cell>
        </row>
        <row r="41">
          <cell r="D41">
            <v>12214.11</v>
          </cell>
          <cell r="E41" t="e">
            <v>#REF!</v>
          </cell>
        </row>
        <row r="42">
          <cell r="D42">
            <v>18485.5</v>
          </cell>
          <cell r="E42">
            <v>0</v>
          </cell>
        </row>
        <row r="43">
          <cell r="D43">
            <v>9613.83</v>
          </cell>
          <cell r="E43">
            <v>0</v>
          </cell>
        </row>
      </sheetData>
      <sheetData sheetId="5"/>
      <sheetData sheetId="6">
        <row r="50">
          <cell r="M50">
            <v>0</v>
          </cell>
        </row>
      </sheetData>
      <sheetData sheetId="7">
        <row r="52">
          <cell r="M52">
            <v>0</v>
          </cell>
        </row>
      </sheetData>
      <sheetData sheetId="8">
        <row r="52">
          <cell r="M52">
            <v>0</v>
          </cell>
        </row>
      </sheetData>
      <sheetData sheetId="9">
        <row r="52">
          <cell r="M52">
            <v>0</v>
          </cell>
        </row>
      </sheetData>
      <sheetData sheetId="10">
        <row r="52">
          <cell r="M52">
            <v>0</v>
          </cell>
        </row>
      </sheetData>
      <sheetData sheetId="11">
        <row r="67">
          <cell r="M67">
            <v>0</v>
          </cell>
        </row>
      </sheetData>
      <sheetData sheetId="12">
        <row r="57">
          <cell r="M57" t="e">
            <v>#REF!</v>
          </cell>
        </row>
      </sheetData>
      <sheetData sheetId="13">
        <row r="40">
          <cell r="M40">
            <v>0</v>
          </cell>
        </row>
      </sheetData>
      <sheetData sheetId="14">
        <row r="40">
          <cell r="M40" t="e">
            <v>#REF!</v>
          </cell>
        </row>
      </sheetData>
      <sheetData sheetId="15">
        <row r="67">
          <cell r="M67" t="e">
            <v>#REF!</v>
          </cell>
        </row>
      </sheetData>
      <sheetData sheetId="16">
        <row r="98">
          <cell r="M98" t="e">
            <v>#REF!</v>
          </cell>
        </row>
      </sheetData>
      <sheetData sheetId="17">
        <row r="136">
          <cell r="M136" t="e">
            <v>#REF!</v>
          </cell>
        </row>
      </sheetData>
      <sheetData sheetId="18">
        <row r="47">
          <cell r="M47" t="e">
            <v>#REF!</v>
          </cell>
        </row>
      </sheetData>
      <sheetData sheetId="19">
        <row r="47">
          <cell r="L47">
            <v>0</v>
          </cell>
        </row>
      </sheetData>
      <sheetData sheetId="20">
        <row r="40">
          <cell r="L40">
            <v>0</v>
          </cell>
        </row>
      </sheetData>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8"/>
  <sheetViews>
    <sheetView view="pageBreakPreview" zoomScaleNormal="100" workbookViewId="0">
      <pane ySplit="1" topLeftCell="A2" activePane="bottomLeft" state="frozen"/>
      <selection/>
      <selection pane="bottomLeft" activeCell="A4" sqref="A4"/>
    </sheetView>
  </sheetViews>
  <sheetFormatPr defaultColWidth="35.6636363636364" defaultRowHeight="14"/>
  <cols>
    <col min="1" max="1" width="93.3363636363636" style="487" customWidth="1"/>
    <col min="2" max="31" width="9" style="487" customWidth="1"/>
    <col min="32" max="223" width="35.6636363636364" style="487" customWidth="1"/>
    <col min="224" max="251" width="9" style="487" customWidth="1"/>
    <col min="252" max="252" width="18.1090909090909" style="487" customWidth="1"/>
    <col min="253" max="253" width="9.89090909090909" style="487" customWidth="1"/>
    <col min="254" max="254" width="47.3363636363636" style="487" customWidth="1"/>
    <col min="255" max="16384" width="35.6636363636364" style="487"/>
  </cols>
  <sheetData>
    <row r="1" s="423" customFormat="1" ht="30" customHeight="1" spans="1:254">
      <c r="A1" s="488" t="s">
        <v>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c r="CO1" s="487"/>
      <c r="CP1" s="487"/>
      <c r="CQ1" s="487"/>
      <c r="CR1" s="487"/>
      <c r="CS1" s="487"/>
      <c r="CT1" s="487"/>
      <c r="CU1" s="487"/>
      <c r="CV1" s="487"/>
      <c r="CW1" s="487"/>
      <c r="CX1" s="487"/>
      <c r="CY1" s="487"/>
      <c r="CZ1" s="487"/>
      <c r="DA1" s="487"/>
      <c r="DB1" s="487"/>
      <c r="DC1" s="487"/>
      <c r="DD1" s="487"/>
      <c r="DE1" s="487"/>
      <c r="DF1" s="487"/>
      <c r="DG1" s="487"/>
      <c r="DH1" s="487"/>
      <c r="DI1" s="487"/>
      <c r="DJ1" s="487"/>
      <c r="DK1" s="487"/>
      <c r="DL1" s="487"/>
      <c r="DM1" s="487"/>
      <c r="DN1" s="487"/>
      <c r="DO1" s="487"/>
      <c r="DP1" s="487"/>
      <c r="DQ1" s="487"/>
      <c r="DR1" s="487"/>
      <c r="DS1" s="487"/>
      <c r="DT1" s="487"/>
      <c r="DU1" s="487"/>
      <c r="DV1" s="487"/>
      <c r="DW1" s="487"/>
      <c r="DX1" s="487"/>
      <c r="DY1" s="487"/>
      <c r="DZ1" s="487"/>
      <c r="EA1" s="487"/>
      <c r="EB1" s="487"/>
      <c r="EC1" s="487"/>
      <c r="ED1" s="487"/>
      <c r="EE1" s="487"/>
      <c r="EF1" s="487"/>
      <c r="EG1" s="487"/>
      <c r="EH1" s="487"/>
      <c r="EI1" s="487"/>
      <c r="EJ1" s="487"/>
      <c r="EK1" s="487"/>
      <c r="EL1" s="487"/>
      <c r="EM1" s="487"/>
      <c r="EN1" s="487"/>
      <c r="EO1" s="487"/>
      <c r="EP1" s="487"/>
      <c r="EQ1" s="487"/>
      <c r="ER1" s="487"/>
      <c r="ES1" s="487"/>
      <c r="ET1" s="487"/>
      <c r="EU1" s="487"/>
      <c r="EV1" s="487"/>
      <c r="EW1" s="487"/>
      <c r="EX1" s="487"/>
      <c r="EY1" s="487"/>
      <c r="EZ1" s="487"/>
      <c r="FA1" s="487"/>
      <c r="FB1" s="487"/>
      <c r="FC1" s="487"/>
      <c r="FD1" s="487"/>
      <c r="FE1" s="487"/>
      <c r="FF1" s="487"/>
      <c r="FG1" s="487"/>
      <c r="FH1" s="487"/>
      <c r="FI1" s="487"/>
      <c r="FJ1" s="487"/>
      <c r="FK1" s="487"/>
      <c r="FL1" s="487"/>
      <c r="FM1" s="487"/>
      <c r="FN1" s="487"/>
      <c r="FO1" s="487"/>
      <c r="FP1" s="487"/>
      <c r="FQ1" s="487"/>
      <c r="FR1" s="487"/>
      <c r="FS1" s="487"/>
      <c r="FT1" s="487"/>
      <c r="FU1" s="487"/>
      <c r="FV1" s="487"/>
      <c r="FW1" s="487"/>
      <c r="FX1" s="487"/>
      <c r="FY1" s="487"/>
      <c r="FZ1" s="487"/>
      <c r="GA1" s="487"/>
      <c r="GB1" s="487"/>
      <c r="GC1" s="487"/>
      <c r="GD1" s="487"/>
      <c r="GE1" s="487"/>
      <c r="GF1" s="487"/>
      <c r="GG1" s="487"/>
      <c r="GH1" s="487"/>
      <c r="GI1" s="487"/>
      <c r="GJ1" s="487"/>
      <c r="GK1" s="487"/>
      <c r="GL1" s="487"/>
      <c r="GM1" s="487"/>
      <c r="GN1" s="487"/>
      <c r="GO1" s="487"/>
      <c r="GP1" s="487"/>
      <c r="GQ1" s="487"/>
      <c r="GR1" s="487"/>
      <c r="GS1" s="487"/>
      <c r="GT1" s="487"/>
      <c r="GU1" s="487"/>
      <c r="GV1" s="487"/>
      <c r="GW1" s="487"/>
      <c r="GX1" s="487"/>
      <c r="GY1" s="487"/>
      <c r="GZ1" s="487"/>
      <c r="HA1" s="487"/>
      <c r="HB1" s="487"/>
      <c r="HC1" s="487"/>
      <c r="HD1" s="487"/>
      <c r="HE1" s="487"/>
      <c r="HF1" s="487"/>
      <c r="HG1" s="487"/>
      <c r="HH1" s="487"/>
      <c r="HI1" s="487"/>
      <c r="HJ1" s="487"/>
      <c r="HK1" s="487"/>
      <c r="HL1" s="487"/>
      <c r="HM1" s="487"/>
      <c r="HN1" s="487"/>
      <c r="HO1" s="487"/>
      <c r="HP1" s="487"/>
      <c r="HQ1" s="487"/>
      <c r="HR1" s="487"/>
      <c r="HS1" s="487"/>
      <c r="HT1" s="487"/>
      <c r="HU1" s="487"/>
      <c r="HV1" s="487"/>
      <c r="HW1" s="487"/>
      <c r="HX1" s="487"/>
      <c r="HY1" s="487"/>
      <c r="HZ1" s="487"/>
      <c r="IA1" s="487"/>
      <c r="IB1" s="487"/>
      <c r="IC1" s="487"/>
      <c r="ID1" s="487"/>
      <c r="IE1" s="487"/>
      <c r="IF1" s="487"/>
      <c r="IG1" s="487"/>
      <c r="IH1" s="487"/>
      <c r="II1" s="487"/>
      <c r="IJ1" s="487"/>
      <c r="IK1" s="487"/>
      <c r="IL1" s="487"/>
      <c r="IM1" s="487"/>
      <c r="IN1" s="487"/>
      <c r="IO1" s="487"/>
      <c r="IP1" s="487"/>
      <c r="IQ1" s="487"/>
      <c r="IR1" s="487"/>
      <c r="IS1" s="487"/>
      <c r="IT1" s="487"/>
    </row>
    <row r="2" s="423" customFormat="1" ht="20.1" customHeight="1" spans="1:254">
      <c r="A2" s="489" t="s">
        <v>1</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c r="CP2" s="487"/>
      <c r="CQ2" s="487"/>
      <c r="CR2" s="487"/>
      <c r="CS2" s="487"/>
      <c r="CT2" s="487"/>
      <c r="CU2" s="487"/>
      <c r="CV2" s="487"/>
      <c r="CW2" s="487"/>
      <c r="CX2" s="487"/>
      <c r="CY2" s="487"/>
      <c r="CZ2" s="487"/>
      <c r="DA2" s="487"/>
      <c r="DB2" s="487"/>
      <c r="DC2" s="487"/>
      <c r="DD2" s="487"/>
      <c r="DE2" s="487"/>
      <c r="DF2" s="487"/>
      <c r="DG2" s="487"/>
      <c r="DH2" s="487"/>
      <c r="DI2" s="487"/>
      <c r="DJ2" s="487"/>
      <c r="DK2" s="487"/>
      <c r="DL2" s="487"/>
      <c r="DM2" s="487"/>
      <c r="DN2" s="487"/>
      <c r="DO2" s="487"/>
      <c r="DP2" s="487"/>
      <c r="DQ2" s="487"/>
      <c r="DR2" s="487"/>
      <c r="DS2" s="487"/>
      <c r="DT2" s="487"/>
      <c r="DU2" s="487"/>
      <c r="DV2" s="487"/>
      <c r="DW2" s="487"/>
      <c r="DX2" s="487"/>
      <c r="DY2" s="487"/>
      <c r="DZ2" s="487"/>
      <c r="EA2" s="487"/>
      <c r="EB2" s="487"/>
      <c r="EC2" s="487"/>
      <c r="ED2" s="487"/>
      <c r="EE2" s="487"/>
      <c r="EF2" s="487"/>
      <c r="EG2" s="487"/>
      <c r="EH2" s="487"/>
      <c r="EI2" s="487"/>
      <c r="EJ2" s="487"/>
      <c r="EK2" s="487"/>
      <c r="EL2" s="487"/>
      <c r="EM2" s="487"/>
      <c r="EN2" s="487"/>
      <c r="EO2" s="487"/>
      <c r="EP2" s="487"/>
      <c r="EQ2" s="487"/>
      <c r="ER2" s="487"/>
      <c r="ES2" s="487"/>
      <c r="ET2" s="487"/>
      <c r="EU2" s="487"/>
      <c r="EV2" s="487"/>
      <c r="EW2" s="487"/>
      <c r="EX2" s="487"/>
      <c r="EY2" s="487"/>
      <c r="EZ2" s="487"/>
      <c r="FA2" s="487"/>
      <c r="FB2" s="487"/>
      <c r="FC2" s="487"/>
      <c r="FD2" s="487"/>
      <c r="FE2" s="487"/>
      <c r="FF2" s="487"/>
      <c r="FG2" s="487"/>
      <c r="FH2" s="487"/>
      <c r="FI2" s="487"/>
      <c r="FJ2" s="487"/>
      <c r="FK2" s="487"/>
      <c r="FL2" s="487"/>
      <c r="FM2" s="487"/>
      <c r="FN2" s="487"/>
      <c r="FO2" s="487"/>
      <c r="FP2" s="487"/>
      <c r="FQ2" s="487"/>
      <c r="FR2" s="487"/>
      <c r="FS2" s="487"/>
      <c r="FT2" s="487"/>
      <c r="FU2" s="487"/>
      <c r="FV2" s="487"/>
      <c r="FW2" s="487"/>
      <c r="FX2" s="487"/>
      <c r="FY2" s="487"/>
      <c r="FZ2" s="487"/>
      <c r="GA2" s="487"/>
      <c r="GB2" s="487"/>
      <c r="GC2" s="487"/>
      <c r="GD2" s="487"/>
      <c r="GE2" s="487"/>
      <c r="GF2" s="487"/>
      <c r="GG2" s="487"/>
      <c r="GH2" s="487"/>
      <c r="GI2" s="487"/>
      <c r="GJ2" s="487"/>
      <c r="GK2" s="487"/>
      <c r="GL2" s="487"/>
      <c r="GM2" s="487"/>
      <c r="GN2" s="487"/>
      <c r="GO2" s="487"/>
      <c r="GP2" s="487"/>
      <c r="GQ2" s="487"/>
      <c r="GR2" s="487"/>
      <c r="GS2" s="487"/>
      <c r="GT2" s="487"/>
      <c r="GU2" s="487"/>
      <c r="GV2" s="487"/>
      <c r="GW2" s="487"/>
      <c r="GX2" s="487"/>
      <c r="GY2" s="487"/>
      <c r="GZ2" s="487"/>
      <c r="HA2" s="487"/>
      <c r="HB2" s="487"/>
      <c r="HC2" s="487"/>
      <c r="HD2" s="487"/>
      <c r="HE2" s="487"/>
      <c r="HF2" s="487"/>
      <c r="HG2" s="487"/>
      <c r="HH2" s="487"/>
      <c r="HI2" s="487"/>
      <c r="HJ2" s="487"/>
      <c r="HK2" s="487"/>
      <c r="HL2" s="487"/>
      <c r="HM2" s="487"/>
      <c r="HN2" s="487"/>
      <c r="HO2" s="487"/>
      <c r="HP2" s="487"/>
      <c r="HQ2" s="487"/>
      <c r="HR2" s="487"/>
      <c r="HS2" s="487"/>
      <c r="HT2" s="487"/>
      <c r="HU2" s="487"/>
      <c r="HV2" s="487"/>
      <c r="HW2" s="487"/>
      <c r="HX2" s="487"/>
      <c r="HY2" s="487"/>
      <c r="HZ2" s="487"/>
      <c r="IA2" s="487"/>
      <c r="IB2" s="487"/>
      <c r="IC2" s="487"/>
      <c r="ID2" s="487"/>
      <c r="IE2" s="487"/>
      <c r="IF2" s="487"/>
      <c r="IG2" s="487"/>
      <c r="IH2" s="487"/>
      <c r="II2" s="487"/>
      <c r="IJ2" s="487"/>
      <c r="IK2" s="487"/>
      <c r="IL2" s="487"/>
      <c r="IM2" s="487"/>
      <c r="IN2" s="487"/>
      <c r="IO2" s="487"/>
      <c r="IP2" s="487"/>
      <c r="IQ2" s="487"/>
      <c r="IR2" s="487"/>
      <c r="IS2" s="487"/>
      <c r="IT2" s="487"/>
    </row>
    <row r="3" s="423" customFormat="1" ht="46.95" customHeight="1" spans="1:254">
      <c r="A3" s="490" t="s">
        <v>2</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487"/>
      <c r="ED3" s="487"/>
      <c r="EE3" s="487"/>
      <c r="EF3" s="487"/>
      <c r="EG3" s="487"/>
      <c r="EH3" s="487"/>
      <c r="EI3" s="487"/>
      <c r="EJ3" s="487"/>
      <c r="EK3" s="487"/>
      <c r="EL3" s="487"/>
      <c r="EM3" s="487"/>
      <c r="EN3" s="487"/>
      <c r="EO3" s="487"/>
      <c r="EP3" s="487"/>
      <c r="EQ3" s="487"/>
      <c r="ER3" s="487"/>
      <c r="ES3" s="487"/>
      <c r="ET3" s="487"/>
      <c r="EU3" s="487"/>
      <c r="EV3" s="487"/>
      <c r="EW3" s="487"/>
      <c r="EX3" s="487"/>
      <c r="EY3" s="487"/>
      <c r="EZ3" s="487"/>
      <c r="FA3" s="487"/>
      <c r="FB3" s="487"/>
      <c r="FC3" s="487"/>
      <c r="FD3" s="487"/>
      <c r="FE3" s="487"/>
      <c r="FF3" s="487"/>
      <c r="FG3" s="487"/>
      <c r="FH3" s="487"/>
      <c r="FI3" s="487"/>
      <c r="FJ3" s="487"/>
      <c r="FK3" s="487"/>
      <c r="FL3" s="487"/>
      <c r="FM3" s="487"/>
      <c r="FN3" s="487"/>
      <c r="FO3" s="487"/>
      <c r="FP3" s="487"/>
      <c r="FQ3" s="487"/>
      <c r="FR3" s="487"/>
      <c r="FS3" s="487"/>
      <c r="FT3" s="487"/>
      <c r="FU3" s="487"/>
      <c r="FV3" s="487"/>
      <c r="FW3" s="487"/>
      <c r="FX3" s="487"/>
      <c r="FY3" s="487"/>
      <c r="FZ3" s="487"/>
      <c r="GA3" s="487"/>
      <c r="GB3" s="487"/>
      <c r="GC3" s="487"/>
      <c r="GD3" s="487"/>
      <c r="GE3" s="487"/>
      <c r="GF3" s="487"/>
      <c r="GG3" s="487"/>
      <c r="GH3" s="487"/>
      <c r="GI3" s="487"/>
      <c r="GJ3" s="487"/>
      <c r="GK3" s="487"/>
      <c r="GL3" s="487"/>
      <c r="GM3" s="487"/>
      <c r="GN3" s="487"/>
      <c r="GO3" s="487"/>
      <c r="GP3" s="487"/>
      <c r="GQ3" s="487"/>
      <c r="GR3" s="487"/>
      <c r="GS3" s="487"/>
      <c r="GT3" s="487"/>
      <c r="GU3" s="487"/>
      <c r="GV3" s="487"/>
      <c r="GW3" s="487"/>
      <c r="GX3" s="487"/>
      <c r="GY3" s="487"/>
      <c r="GZ3" s="487"/>
      <c r="HA3" s="487"/>
      <c r="HB3" s="487"/>
      <c r="HC3" s="487"/>
      <c r="HD3" s="487"/>
      <c r="HE3" s="487"/>
      <c r="HF3" s="487"/>
      <c r="HG3" s="487"/>
      <c r="HH3" s="487"/>
      <c r="HI3" s="487"/>
      <c r="HJ3" s="487"/>
      <c r="HK3" s="487"/>
      <c r="HL3" s="487"/>
      <c r="HM3" s="487"/>
      <c r="HN3" s="487"/>
      <c r="HO3" s="487"/>
      <c r="HP3" s="487"/>
      <c r="HQ3" s="487"/>
      <c r="HR3" s="487"/>
      <c r="HS3" s="487"/>
      <c r="HT3" s="487"/>
      <c r="HU3" s="487"/>
      <c r="HV3" s="487"/>
      <c r="HW3" s="487"/>
      <c r="HX3" s="487"/>
      <c r="HY3" s="487"/>
      <c r="HZ3" s="487"/>
      <c r="IA3" s="487"/>
      <c r="IB3" s="487"/>
      <c r="IC3" s="487"/>
      <c r="ID3" s="487"/>
      <c r="IE3" s="487"/>
      <c r="IF3" s="487"/>
      <c r="IG3" s="487"/>
      <c r="IH3" s="487"/>
      <c r="II3" s="487"/>
      <c r="IJ3" s="487"/>
      <c r="IK3" s="487"/>
      <c r="IL3" s="487"/>
      <c r="IM3" s="487"/>
      <c r="IN3" s="487"/>
      <c r="IO3" s="487"/>
      <c r="IP3" s="487"/>
      <c r="IQ3" s="487"/>
      <c r="IR3" s="487"/>
      <c r="IS3" s="487"/>
      <c r="IT3" s="487"/>
    </row>
    <row r="4" s="423" customFormat="1" ht="49.05" customHeight="1" spans="1:254">
      <c r="A4" s="490" t="s">
        <v>3</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7"/>
      <c r="BO4" s="487"/>
      <c r="BP4" s="487"/>
      <c r="BQ4" s="487"/>
      <c r="BR4" s="487"/>
      <c r="BS4" s="487"/>
      <c r="BT4" s="487"/>
      <c r="BU4" s="487"/>
      <c r="BV4" s="487"/>
      <c r="BW4" s="487"/>
      <c r="BX4" s="487"/>
      <c r="BY4" s="487"/>
      <c r="BZ4" s="487"/>
      <c r="CA4" s="487"/>
      <c r="CB4" s="487"/>
      <c r="CC4" s="487"/>
      <c r="CD4" s="487"/>
      <c r="CE4" s="487"/>
      <c r="CF4" s="487"/>
      <c r="CG4" s="487"/>
      <c r="CH4" s="487"/>
      <c r="CI4" s="487"/>
      <c r="CJ4" s="487"/>
      <c r="CK4" s="487"/>
      <c r="CL4" s="487"/>
      <c r="CM4" s="487"/>
      <c r="CN4" s="487"/>
      <c r="CO4" s="487"/>
      <c r="CP4" s="487"/>
      <c r="CQ4" s="487"/>
      <c r="CR4" s="487"/>
      <c r="CS4" s="487"/>
      <c r="CT4" s="487"/>
      <c r="CU4" s="487"/>
      <c r="CV4" s="487"/>
      <c r="CW4" s="487"/>
      <c r="CX4" s="487"/>
      <c r="CY4" s="487"/>
      <c r="CZ4" s="487"/>
      <c r="DA4" s="487"/>
      <c r="DB4" s="487"/>
      <c r="DC4" s="487"/>
      <c r="DD4" s="487"/>
      <c r="DE4" s="487"/>
      <c r="DF4" s="487"/>
      <c r="DG4" s="487"/>
      <c r="DH4" s="487"/>
      <c r="DI4" s="487"/>
      <c r="DJ4" s="487"/>
      <c r="DK4" s="487"/>
      <c r="DL4" s="487"/>
      <c r="DM4" s="487"/>
      <c r="DN4" s="487"/>
      <c r="DO4" s="487"/>
      <c r="DP4" s="487"/>
      <c r="DQ4" s="487"/>
      <c r="DR4" s="487"/>
      <c r="DS4" s="487"/>
      <c r="DT4" s="487"/>
      <c r="DU4" s="487"/>
      <c r="DV4" s="487"/>
      <c r="DW4" s="487"/>
      <c r="DX4" s="487"/>
      <c r="DY4" s="487"/>
      <c r="DZ4" s="487"/>
      <c r="EA4" s="487"/>
      <c r="EB4" s="487"/>
      <c r="EC4" s="487"/>
      <c r="ED4" s="487"/>
      <c r="EE4" s="487"/>
      <c r="EF4" s="487"/>
      <c r="EG4" s="487"/>
      <c r="EH4" s="487"/>
      <c r="EI4" s="487"/>
      <c r="EJ4" s="487"/>
      <c r="EK4" s="487"/>
      <c r="EL4" s="487"/>
      <c r="EM4" s="487"/>
      <c r="EN4" s="487"/>
      <c r="EO4" s="487"/>
      <c r="EP4" s="487"/>
      <c r="EQ4" s="487"/>
      <c r="ER4" s="487"/>
      <c r="ES4" s="487"/>
      <c r="ET4" s="487"/>
      <c r="EU4" s="487"/>
      <c r="EV4" s="487"/>
      <c r="EW4" s="487"/>
      <c r="EX4" s="487"/>
      <c r="EY4" s="487"/>
      <c r="EZ4" s="487"/>
      <c r="FA4" s="487"/>
      <c r="FB4" s="487"/>
      <c r="FC4" s="487"/>
      <c r="FD4" s="487"/>
      <c r="FE4" s="487"/>
      <c r="FF4" s="487"/>
      <c r="FG4" s="487"/>
      <c r="FH4" s="487"/>
      <c r="FI4" s="487"/>
      <c r="FJ4" s="487"/>
      <c r="FK4" s="487"/>
      <c r="FL4" s="487"/>
      <c r="FM4" s="487"/>
      <c r="FN4" s="487"/>
      <c r="FO4" s="487"/>
      <c r="FP4" s="487"/>
      <c r="FQ4" s="487"/>
      <c r="FR4" s="487"/>
      <c r="FS4" s="487"/>
      <c r="FT4" s="487"/>
      <c r="FU4" s="487"/>
      <c r="FV4" s="487"/>
      <c r="FW4" s="487"/>
      <c r="FX4" s="487"/>
      <c r="FY4" s="487"/>
      <c r="FZ4" s="487"/>
      <c r="GA4" s="487"/>
      <c r="GB4" s="487"/>
      <c r="GC4" s="487"/>
      <c r="GD4" s="487"/>
      <c r="GE4" s="487"/>
      <c r="GF4" s="487"/>
      <c r="GG4" s="487"/>
      <c r="GH4" s="487"/>
      <c r="GI4" s="487"/>
      <c r="GJ4" s="487"/>
      <c r="GK4" s="487"/>
      <c r="GL4" s="487"/>
      <c r="GM4" s="487"/>
      <c r="GN4" s="487"/>
      <c r="GO4" s="487"/>
      <c r="GP4" s="487"/>
      <c r="GQ4" s="487"/>
      <c r="GR4" s="487"/>
      <c r="GS4" s="487"/>
      <c r="GT4" s="487"/>
      <c r="GU4" s="487"/>
      <c r="GV4" s="487"/>
      <c r="GW4" s="487"/>
      <c r="GX4" s="487"/>
      <c r="GY4" s="487"/>
      <c r="GZ4" s="487"/>
      <c r="HA4" s="487"/>
      <c r="HB4" s="487"/>
      <c r="HC4" s="487"/>
      <c r="HD4" s="487"/>
      <c r="HE4" s="487"/>
      <c r="HF4" s="487"/>
      <c r="HG4" s="487"/>
      <c r="HH4" s="487"/>
      <c r="HI4" s="487"/>
      <c r="HJ4" s="487"/>
      <c r="HK4" s="487"/>
      <c r="HL4" s="487"/>
      <c r="HM4" s="487"/>
      <c r="HN4" s="487"/>
      <c r="HO4" s="487"/>
      <c r="HP4" s="487"/>
      <c r="HQ4" s="487"/>
      <c r="HR4" s="487"/>
      <c r="HS4" s="487"/>
      <c r="HT4" s="487"/>
      <c r="HU4" s="487"/>
      <c r="HV4" s="487"/>
      <c r="HW4" s="487"/>
      <c r="HX4" s="487"/>
      <c r="HY4" s="487"/>
      <c r="HZ4" s="487"/>
      <c r="IA4" s="487"/>
      <c r="IB4" s="487"/>
      <c r="IC4" s="487"/>
      <c r="ID4" s="487"/>
      <c r="IE4" s="487"/>
      <c r="IF4" s="487"/>
      <c r="IG4" s="487"/>
      <c r="IH4" s="487"/>
      <c r="II4" s="487"/>
      <c r="IJ4" s="487"/>
      <c r="IK4" s="487"/>
      <c r="IL4" s="487"/>
      <c r="IM4" s="487"/>
      <c r="IN4" s="487"/>
      <c r="IO4" s="487"/>
      <c r="IP4" s="487"/>
      <c r="IQ4" s="487"/>
      <c r="IR4" s="487"/>
      <c r="IS4" s="487"/>
      <c r="IT4" s="487"/>
    </row>
    <row r="5" s="423" customFormat="1" ht="50.1" customHeight="1" spans="1:254">
      <c r="A5" s="491" t="s">
        <v>4</v>
      </c>
      <c r="B5" s="487"/>
      <c r="C5" s="487"/>
      <c r="D5" s="492"/>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c r="CT5" s="487"/>
      <c r="CU5" s="487"/>
      <c r="CV5" s="487"/>
      <c r="CW5" s="487"/>
      <c r="CX5" s="487"/>
      <c r="CY5" s="487"/>
      <c r="CZ5" s="487"/>
      <c r="DA5" s="487"/>
      <c r="DB5" s="487"/>
      <c r="DC5" s="487"/>
      <c r="DD5" s="487"/>
      <c r="DE5" s="487"/>
      <c r="DF5" s="487"/>
      <c r="DG5" s="487"/>
      <c r="DH5" s="487"/>
      <c r="DI5" s="487"/>
      <c r="DJ5" s="487"/>
      <c r="DK5" s="487"/>
      <c r="DL5" s="487"/>
      <c r="DM5" s="487"/>
      <c r="DN5" s="487"/>
      <c r="DO5" s="487"/>
      <c r="DP5" s="487"/>
      <c r="DQ5" s="487"/>
      <c r="DR5" s="487"/>
      <c r="DS5" s="487"/>
      <c r="DT5" s="487"/>
      <c r="DU5" s="487"/>
      <c r="DV5" s="487"/>
      <c r="DW5" s="487"/>
      <c r="DX5" s="487"/>
      <c r="DY5" s="487"/>
      <c r="DZ5" s="487"/>
      <c r="EA5" s="487"/>
      <c r="EB5" s="487"/>
      <c r="EC5" s="487"/>
      <c r="ED5" s="487"/>
      <c r="EE5" s="487"/>
      <c r="EF5" s="487"/>
      <c r="EG5" s="487"/>
      <c r="EH5" s="487"/>
      <c r="EI5" s="487"/>
      <c r="EJ5" s="487"/>
      <c r="EK5" s="487"/>
      <c r="EL5" s="487"/>
      <c r="EM5" s="487"/>
      <c r="EN5" s="487"/>
      <c r="EO5" s="487"/>
      <c r="EP5" s="487"/>
      <c r="EQ5" s="487"/>
      <c r="ER5" s="487"/>
      <c r="ES5" s="487"/>
      <c r="ET5" s="487"/>
      <c r="EU5" s="487"/>
      <c r="EV5" s="487"/>
      <c r="EW5" s="487"/>
      <c r="EX5" s="487"/>
      <c r="EY5" s="487"/>
      <c r="EZ5" s="487"/>
      <c r="FA5" s="487"/>
      <c r="FB5" s="487"/>
      <c r="FC5" s="487"/>
      <c r="FD5" s="487"/>
      <c r="FE5" s="487"/>
      <c r="FF5" s="487"/>
      <c r="FG5" s="487"/>
      <c r="FH5" s="487"/>
      <c r="FI5" s="487"/>
      <c r="FJ5" s="487"/>
      <c r="FK5" s="487"/>
      <c r="FL5" s="487"/>
      <c r="FM5" s="487"/>
      <c r="FN5" s="487"/>
      <c r="FO5" s="487"/>
      <c r="FP5" s="487"/>
      <c r="FQ5" s="487"/>
      <c r="FR5" s="487"/>
      <c r="FS5" s="487"/>
      <c r="FT5" s="487"/>
      <c r="FU5" s="487"/>
      <c r="FV5" s="487"/>
      <c r="FW5" s="487"/>
      <c r="FX5" s="487"/>
      <c r="FY5" s="487"/>
      <c r="FZ5" s="487"/>
      <c r="GA5" s="487"/>
      <c r="GB5" s="487"/>
      <c r="GC5" s="487"/>
      <c r="GD5" s="487"/>
      <c r="GE5" s="487"/>
      <c r="GF5" s="487"/>
      <c r="GG5" s="487"/>
      <c r="GH5" s="487"/>
      <c r="GI5" s="487"/>
      <c r="GJ5" s="487"/>
      <c r="GK5" s="487"/>
      <c r="GL5" s="487"/>
      <c r="GM5" s="487"/>
      <c r="GN5" s="487"/>
      <c r="GO5" s="487"/>
      <c r="GP5" s="487"/>
      <c r="GQ5" s="487"/>
      <c r="GR5" s="487"/>
      <c r="GS5" s="487"/>
      <c r="GT5" s="487"/>
      <c r="GU5" s="487"/>
      <c r="GV5" s="487"/>
      <c r="GW5" s="487"/>
      <c r="GX5" s="487"/>
      <c r="GY5" s="487"/>
      <c r="GZ5" s="487"/>
      <c r="HA5" s="487"/>
      <c r="HB5" s="487"/>
      <c r="HC5" s="487"/>
      <c r="HD5" s="487"/>
      <c r="HE5" s="487"/>
      <c r="HF5" s="487"/>
      <c r="HG5" s="487"/>
      <c r="HH5" s="487"/>
      <c r="HI5" s="487"/>
      <c r="HJ5" s="487"/>
      <c r="HK5" s="487"/>
      <c r="HL5" s="487"/>
      <c r="HM5" s="487"/>
      <c r="HN5" s="487"/>
      <c r="HO5" s="487"/>
      <c r="HP5" s="487"/>
      <c r="HQ5" s="487"/>
      <c r="HR5" s="487"/>
      <c r="HS5" s="487"/>
      <c r="HT5" s="487"/>
      <c r="HU5" s="487"/>
      <c r="HV5" s="487"/>
      <c r="HW5" s="487"/>
      <c r="HX5" s="487"/>
      <c r="HY5" s="487"/>
      <c r="HZ5" s="487"/>
      <c r="IA5" s="487"/>
      <c r="IB5" s="487"/>
      <c r="IC5" s="487"/>
      <c r="ID5" s="487"/>
      <c r="IE5" s="487"/>
      <c r="IF5" s="487"/>
      <c r="IG5" s="487"/>
      <c r="IH5" s="487"/>
      <c r="II5" s="487"/>
      <c r="IJ5" s="487"/>
      <c r="IK5" s="487"/>
      <c r="IL5" s="487"/>
      <c r="IM5" s="487"/>
      <c r="IN5" s="487"/>
      <c r="IO5" s="487"/>
      <c r="IP5" s="487"/>
      <c r="IQ5" s="487"/>
      <c r="IR5" s="487"/>
      <c r="IS5" s="487"/>
      <c r="IT5" s="487"/>
    </row>
    <row r="6" s="423" customFormat="1" ht="24.9" customHeight="1" spans="1:254">
      <c r="A6" s="493" t="s">
        <v>5</v>
      </c>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7"/>
      <c r="DR6" s="487"/>
      <c r="DS6" s="487"/>
      <c r="DT6" s="487"/>
      <c r="DU6" s="487"/>
      <c r="DV6" s="487"/>
      <c r="DW6" s="487"/>
      <c r="DX6" s="487"/>
      <c r="DY6" s="487"/>
      <c r="DZ6" s="487"/>
      <c r="EA6" s="487"/>
      <c r="EB6" s="487"/>
      <c r="EC6" s="487"/>
      <c r="ED6" s="487"/>
      <c r="EE6" s="487"/>
      <c r="EF6" s="487"/>
      <c r="EG6" s="487"/>
      <c r="EH6" s="487"/>
      <c r="EI6" s="487"/>
      <c r="EJ6" s="487"/>
      <c r="EK6" s="487"/>
      <c r="EL6" s="487"/>
      <c r="EM6" s="487"/>
      <c r="EN6" s="487"/>
      <c r="EO6" s="487"/>
      <c r="EP6" s="487"/>
      <c r="EQ6" s="487"/>
      <c r="ER6" s="487"/>
      <c r="ES6" s="487"/>
      <c r="ET6" s="487"/>
      <c r="EU6" s="487"/>
      <c r="EV6" s="487"/>
      <c r="EW6" s="487"/>
      <c r="EX6" s="487"/>
      <c r="EY6" s="487"/>
      <c r="EZ6" s="487"/>
      <c r="FA6" s="487"/>
      <c r="FB6" s="487"/>
      <c r="FC6" s="487"/>
      <c r="FD6" s="487"/>
      <c r="FE6" s="487"/>
      <c r="FF6" s="487"/>
      <c r="FG6" s="487"/>
      <c r="FH6" s="487"/>
      <c r="FI6" s="487"/>
      <c r="FJ6" s="487"/>
      <c r="FK6" s="487"/>
      <c r="FL6" s="487"/>
      <c r="FM6" s="487"/>
      <c r="FN6" s="487"/>
      <c r="FO6" s="487"/>
      <c r="FP6" s="487"/>
      <c r="FQ6" s="487"/>
      <c r="FR6" s="487"/>
      <c r="FS6" s="487"/>
      <c r="FT6" s="487"/>
      <c r="FU6" s="487"/>
      <c r="FV6" s="487"/>
      <c r="FW6" s="487"/>
      <c r="FX6" s="487"/>
      <c r="FY6" s="487"/>
      <c r="FZ6" s="487"/>
      <c r="GA6" s="487"/>
      <c r="GB6" s="487"/>
      <c r="GC6" s="487"/>
      <c r="GD6" s="487"/>
      <c r="GE6" s="487"/>
      <c r="GF6" s="487"/>
      <c r="GG6" s="487"/>
      <c r="GH6" s="487"/>
      <c r="GI6" s="487"/>
      <c r="GJ6" s="487"/>
      <c r="GK6" s="487"/>
      <c r="GL6" s="487"/>
      <c r="GM6" s="487"/>
      <c r="GN6" s="487"/>
      <c r="GO6" s="487"/>
      <c r="GP6" s="487"/>
      <c r="GQ6" s="487"/>
      <c r="GR6" s="487"/>
      <c r="GS6" s="487"/>
      <c r="GT6" s="487"/>
      <c r="GU6" s="487"/>
      <c r="GV6" s="487"/>
      <c r="GW6" s="487"/>
      <c r="GX6" s="487"/>
      <c r="GY6" s="487"/>
      <c r="GZ6" s="487"/>
      <c r="HA6" s="487"/>
      <c r="HB6" s="487"/>
      <c r="HC6" s="487"/>
      <c r="HD6" s="487"/>
      <c r="HE6" s="487"/>
      <c r="HF6" s="487"/>
      <c r="HG6" s="487"/>
      <c r="HH6" s="487"/>
      <c r="HI6" s="487"/>
      <c r="HJ6" s="487"/>
      <c r="HK6" s="487"/>
      <c r="HL6" s="487"/>
      <c r="HM6" s="487"/>
      <c r="HN6" s="487"/>
      <c r="HO6" s="487"/>
      <c r="HP6" s="487"/>
      <c r="HQ6" s="487"/>
      <c r="HR6" s="487"/>
      <c r="HS6" s="487"/>
      <c r="HT6" s="487"/>
      <c r="HU6" s="487"/>
      <c r="HV6" s="487"/>
      <c r="HW6" s="487"/>
      <c r="HX6" s="487"/>
      <c r="HY6" s="487"/>
      <c r="HZ6" s="487"/>
      <c r="IA6" s="487"/>
      <c r="IB6" s="487"/>
      <c r="IC6" s="487"/>
      <c r="ID6" s="487"/>
      <c r="IE6" s="487"/>
      <c r="IF6" s="487"/>
      <c r="IG6" s="487"/>
      <c r="IH6" s="487"/>
      <c r="II6" s="487"/>
      <c r="IJ6" s="487"/>
      <c r="IK6" s="487"/>
      <c r="IL6" s="487"/>
      <c r="IM6" s="487"/>
      <c r="IN6" s="487"/>
      <c r="IO6" s="487"/>
      <c r="IP6" s="487"/>
      <c r="IQ6" s="487"/>
      <c r="IR6" s="487"/>
      <c r="IS6" s="487"/>
      <c r="IT6" s="487"/>
    </row>
    <row r="7" s="423" customFormat="1" ht="24.9" customHeight="1" spans="1:254">
      <c r="A7" s="491" t="s">
        <v>6</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7"/>
      <c r="CH7" s="487"/>
      <c r="CI7" s="487"/>
      <c r="CJ7" s="487"/>
      <c r="CK7" s="487"/>
      <c r="CL7" s="487"/>
      <c r="CM7" s="487"/>
      <c r="CN7" s="487"/>
      <c r="CO7" s="487"/>
      <c r="CP7" s="487"/>
      <c r="CQ7" s="487"/>
      <c r="CR7" s="487"/>
      <c r="CS7" s="487"/>
      <c r="CT7" s="487"/>
      <c r="CU7" s="487"/>
      <c r="CV7" s="487"/>
      <c r="CW7" s="487"/>
      <c r="CX7" s="487"/>
      <c r="CY7" s="487"/>
      <c r="CZ7" s="487"/>
      <c r="DA7" s="487"/>
      <c r="DB7" s="487"/>
      <c r="DC7" s="487"/>
      <c r="DD7" s="487"/>
      <c r="DE7" s="487"/>
      <c r="DF7" s="487"/>
      <c r="DG7" s="487"/>
      <c r="DH7" s="487"/>
      <c r="DI7" s="487"/>
      <c r="DJ7" s="487"/>
      <c r="DK7" s="487"/>
      <c r="DL7" s="487"/>
      <c r="DM7" s="487"/>
      <c r="DN7" s="487"/>
      <c r="DO7" s="487"/>
      <c r="DP7" s="487"/>
      <c r="DQ7" s="487"/>
      <c r="DR7" s="487"/>
      <c r="DS7" s="487"/>
      <c r="DT7" s="487"/>
      <c r="DU7" s="487"/>
      <c r="DV7" s="487"/>
      <c r="DW7" s="487"/>
      <c r="DX7" s="487"/>
      <c r="DY7" s="487"/>
      <c r="DZ7" s="487"/>
      <c r="EA7" s="487"/>
      <c r="EB7" s="487"/>
      <c r="EC7" s="487"/>
      <c r="ED7" s="487"/>
      <c r="EE7" s="487"/>
      <c r="EF7" s="487"/>
      <c r="EG7" s="487"/>
      <c r="EH7" s="487"/>
      <c r="EI7" s="487"/>
      <c r="EJ7" s="487"/>
      <c r="EK7" s="487"/>
      <c r="EL7" s="487"/>
      <c r="EM7" s="487"/>
      <c r="EN7" s="487"/>
      <c r="EO7" s="487"/>
      <c r="EP7" s="487"/>
      <c r="EQ7" s="487"/>
      <c r="ER7" s="487"/>
      <c r="ES7" s="487"/>
      <c r="ET7" s="487"/>
      <c r="EU7" s="487"/>
      <c r="EV7" s="487"/>
      <c r="EW7" s="487"/>
      <c r="EX7" s="487"/>
      <c r="EY7" s="487"/>
      <c r="EZ7" s="487"/>
      <c r="FA7" s="487"/>
      <c r="FB7" s="487"/>
      <c r="FC7" s="487"/>
      <c r="FD7" s="487"/>
      <c r="FE7" s="487"/>
      <c r="FF7" s="487"/>
      <c r="FG7" s="487"/>
      <c r="FH7" s="487"/>
      <c r="FI7" s="487"/>
      <c r="FJ7" s="487"/>
      <c r="FK7" s="487"/>
      <c r="FL7" s="487"/>
      <c r="FM7" s="487"/>
      <c r="FN7" s="487"/>
      <c r="FO7" s="487"/>
      <c r="FP7" s="487"/>
      <c r="FQ7" s="487"/>
      <c r="FR7" s="487"/>
      <c r="FS7" s="487"/>
      <c r="FT7" s="487"/>
      <c r="FU7" s="487"/>
      <c r="FV7" s="487"/>
      <c r="FW7" s="487"/>
      <c r="FX7" s="487"/>
      <c r="FY7" s="487"/>
      <c r="FZ7" s="487"/>
      <c r="GA7" s="487"/>
      <c r="GB7" s="487"/>
      <c r="GC7" s="487"/>
      <c r="GD7" s="487"/>
      <c r="GE7" s="487"/>
      <c r="GF7" s="487"/>
      <c r="GG7" s="487"/>
      <c r="GH7" s="487"/>
      <c r="GI7" s="487"/>
      <c r="GJ7" s="487"/>
      <c r="GK7" s="487"/>
      <c r="GL7" s="487"/>
      <c r="GM7" s="487"/>
      <c r="GN7" s="487"/>
      <c r="GO7" s="487"/>
      <c r="GP7" s="487"/>
      <c r="GQ7" s="487"/>
      <c r="GR7" s="487"/>
      <c r="GS7" s="487"/>
      <c r="GT7" s="487"/>
      <c r="GU7" s="487"/>
      <c r="GV7" s="487"/>
      <c r="GW7" s="487"/>
      <c r="GX7" s="487"/>
      <c r="GY7" s="487"/>
      <c r="GZ7" s="487"/>
      <c r="HA7" s="487"/>
      <c r="HB7" s="487"/>
      <c r="HC7" s="487"/>
      <c r="HD7" s="487"/>
      <c r="HE7" s="487"/>
      <c r="HF7" s="487"/>
      <c r="HG7" s="487"/>
      <c r="HH7" s="487"/>
      <c r="HI7" s="487"/>
      <c r="HJ7" s="487"/>
      <c r="HK7" s="487"/>
      <c r="HL7" s="487"/>
      <c r="HM7" s="487"/>
      <c r="HN7" s="487"/>
      <c r="HO7" s="487"/>
      <c r="HP7" s="487"/>
      <c r="HQ7" s="487"/>
      <c r="HR7" s="487"/>
      <c r="HS7" s="487"/>
      <c r="HT7" s="487"/>
      <c r="HU7" s="487"/>
      <c r="HV7" s="487"/>
      <c r="HW7" s="487"/>
      <c r="HX7" s="487"/>
      <c r="HY7" s="487"/>
      <c r="HZ7" s="487"/>
      <c r="IA7" s="487"/>
      <c r="IB7" s="487"/>
      <c r="IC7" s="487"/>
      <c r="ID7" s="487"/>
      <c r="IE7" s="487"/>
      <c r="IF7" s="487"/>
      <c r="IG7" s="487"/>
      <c r="IH7" s="487"/>
      <c r="II7" s="487"/>
      <c r="IJ7" s="487"/>
      <c r="IK7" s="487"/>
      <c r="IL7" s="487"/>
      <c r="IM7" s="487"/>
      <c r="IN7" s="487"/>
      <c r="IO7" s="487"/>
      <c r="IP7" s="487"/>
      <c r="IQ7" s="487"/>
      <c r="IR7" s="487"/>
      <c r="IS7" s="487"/>
      <c r="IT7" s="487"/>
    </row>
    <row r="8" s="423" customFormat="1" ht="39.9" customHeight="1" spans="1:254">
      <c r="A8" s="491" t="s">
        <v>7</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7"/>
      <c r="DR8" s="487"/>
      <c r="DS8" s="487"/>
      <c r="DT8" s="487"/>
      <c r="DU8" s="487"/>
      <c r="DV8" s="487"/>
      <c r="DW8" s="487"/>
      <c r="DX8" s="487"/>
      <c r="DY8" s="487"/>
      <c r="DZ8" s="487"/>
      <c r="EA8" s="487"/>
      <c r="EB8" s="487"/>
      <c r="EC8" s="487"/>
      <c r="ED8" s="487"/>
      <c r="EE8" s="487"/>
      <c r="EF8" s="487"/>
      <c r="EG8" s="487"/>
      <c r="EH8" s="487"/>
      <c r="EI8" s="487"/>
      <c r="EJ8" s="487"/>
      <c r="EK8" s="487"/>
      <c r="EL8" s="487"/>
      <c r="EM8" s="487"/>
      <c r="EN8" s="487"/>
      <c r="EO8" s="487"/>
      <c r="EP8" s="487"/>
      <c r="EQ8" s="487"/>
      <c r="ER8" s="487"/>
      <c r="ES8" s="487"/>
      <c r="ET8" s="487"/>
      <c r="EU8" s="487"/>
      <c r="EV8" s="487"/>
      <c r="EW8" s="487"/>
      <c r="EX8" s="487"/>
      <c r="EY8" s="487"/>
      <c r="EZ8" s="487"/>
      <c r="FA8" s="487"/>
      <c r="FB8" s="487"/>
      <c r="FC8" s="487"/>
      <c r="FD8" s="487"/>
      <c r="FE8" s="487"/>
      <c r="FF8" s="487"/>
      <c r="FG8" s="487"/>
      <c r="FH8" s="487"/>
      <c r="FI8" s="487"/>
      <c r="FJ8" s="487"/>
      <c r="FK8" s="487"/>
      <c r="FL8" s="487"/>
      <c r="FM8" s="487"/>
      <c r="FN8" s="487"/>
      <c r="FO8" s="487"/>
      <c r="FP8" s="487"/>
      <c r="FQ8" s="487"/>
      <c r="FR8" s="487"/>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7"/>
      <c r="GQ8" s="487"/>
      <c r="GR8" s="487"/>
      <c r="GS8" s="487"/>
      <c r="GT8" s="487"/>
      <c r="GU8" s="487"/>
      <c r="GV8" s="487"/>
      <c r="GW8" s="487"/>
      <c r="GX8" s="487"/>
      <c r="GY8" s="487"/>
      <c r="GZ8" s="487"/>
      <c r="HA8" s="487"/>
      <c r="HB8" s="487"/>
      <c r="HC8" s="487"/>
      <c r="HD8" s="487"/>
      <c r="HE8" s="487"/>
      <c r="HF8" s="487"/>
      <c r="HG8" s="487"/>
      <c r="HH8" s="487"/>
      <c r="HI8" s="487"/>
      <c r="HJ8" s="487"/>
      <c r="HK8" s="487"/>
      <c r="HL8" s="487"/>
      <c r="HM8" s="487"/>
      <c r="HN8" s="487"/>
      <c r="HO8" s="487"/>
      <c r="HP8" s="487"/>
      <c r="HQ8" s="487"/>
      <c r="HR8" s="487"/>
      <c r="HS8" s="487"/>
      <c r="HT8" s="487"/>
      <c r="HU8" s="487"/>
      <c r="HV8" s="487"/>
      <c r="HW8" s="487"/>
      <c r="HX8" s="487"/>
      <c r="HY8" s="487"/>
      <c r="HZ8" s="487"/>
      <c r="IA8" s="487"/>
      <c r="IB8" s="487"/>
      <c r="IC8" s="487"/>
      <c r="ID8" s="487"/>
      <c r="IE8" s="487"/>
      <c r="IF8" s="487"/>
      <c r="IG8" s="487"/>
      <c r="IH8" s="487"/>
      <c r="II8" s="487"/>
      <c r="IJ8" s="487"/>
      <c r="IK8" s="487"/>
      <c r="IL8" s="487"/>
      <c r="IM8" s="487"/>
      <c r="IN8" s="487"/>
      <c r="IO8" s="487"/>
      <c r="IP8" s="487"/>
      <c r="IQ8" s="487"/>
      <c r="IR8" s="487"/>
      <c r="IS8" s="487"/>
      <c r="IT8" s="487"/>
    </row>
    <row r="9" s="423" customFormat="1" ht="39.9" customHeight="1" spans="1:254">
      <c r="A9" s="491" t="s">
        <v>8</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7"/>
      <c r="CQ9" s="487"/>
      <c r="CR9" s="487"/>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7"/>
      <c r="DR9" s="487"/>
      <c r="DS9" s="487"/>
      <c r="DT9" s="487"/>
      <c r="DU9" s="487"/>
      <c r="DV9" s="487"/>
      <c r="DW9" s="487"/>
      <c r="DX9" s="487"/>
      <c r="DY9" s="487"/>
      <c r="DZ9" s="487"/>
      <c r="EA9" s="487"/>
      <c r="EB9" s="487"/>
      <c r="EC9" s="487"/>
      <c r="ED9" s="487"/>
      <c r="EE9" s="487"/>
      <c r="EF9" s="487"/>
      <c r="EG9" s="487"/>
      <c r="EH9" s="487"/>
      <c r="EI9" s="487"/>
      <c r="EJ9" s="487"/>
      <c r="EK9" s="487"/>
      <c r="EL9" s="487"/>
      <c r="EM9" s="487"/>
      <c r="EN9" s="487"/>
      <c r="EO9" s="487"/>
      <c r="EP9" s="487"/>
      <c r="EQ9" s="487"/>
      <c r="ER9" s="487"/>
      <c r="ES9" s="487"/>
      <c r="ET9" s="487"/>
      <c r="EU9" s="487"/>
      <c r="EV9" s="487"/>
      <c r="EW9" s="487"/>
      <c r="EX9" s="487"/>
      <c r="EY9" s="487"/>
      <c r="EZ9" s="487"/>
      <c r="FA9" s="487"/>
      <c r="FB9" s="487"/>
      <c r="FC9" s="487"/>
      <c r="FD9" s="487"/>
      <c r="FE9" s="487"/>
      <c r="FF9" s="487"/>
      <c r="FG9" s="487"/>
      <c r="FH9" s="487"/>
      <c r="FI9" s="487"/>
      <c r="FJ9" s="487"/>
      <c r="FK9" s="487"/>
      <c r="FL9" s="487"/>
      <c r="FM9" s="487"/>
      <c r="FN9" s="487"/>
      <c r="FO9" s="487"/>
      <c r="FP9" s="487"/>
      <c r="FQ9" s="487"/>
      <c r="FR9" s="487"/>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7"/>
      <c r="GQ9" s="487"/>
      <c r="GR9" s="487"/>
      <c r="GS9" s="487"/>
      <c r="GT9" s="487"/>
      <c r="GU9" s="487"/>
      <c r="GV9" s="487"/>
      <c r="GW9" s="487"/>
      <c r="GX9" s="487"/>
      <c r="GY9" s="487"/>
      <c r="GZ9" s="487"/>
      <c r="HA9" s="487"/>
      <c r="HB9" s="487"/>
      <c r="HC9" s="487"/>
      <c r="HD9" s="487"/>
      <c r="HE9" s="487"/>
      <c r="HF9" s="487"/>
      <c r="HG9" s="487"/>
      <c r="HH9" s="487"/>
      <c r="HI9" s="487"/>
      <c r="HJ9" s="487"/>
      <c r="HK9" s="487"/>
      <c r="HL9" s="487"/>
      <c r="HM9" s="487"/>
      <c r="HN9" s="487"/>
      <c r="HO9" s="487"/>
      <c r="HP9" s="487"/>
      <c r="HQ9" s="487"/>
      <c r="HR9" s="487"/>
      <c r="HS9" s="487"/>
      <c r="HT9" s="487"/>
      <c r="HU9" s="487"/>
      <c r="HV9" s="487"/>
      <c r="HW9" s="487"/>
      <c r="HX9" s="487"/>
      <c r="HY9" s="487"/>
      <c r="HZ9" s="487"/>
      <c r="IA9" s="487"/>
      <c r="IB9" s="487"/>
      <c r="IC9" s="487"/>
      <c r="ID9" s="487"/>
      <c r="IE9" s="487"/>
      <c r="IF9" s="487"/>
      <c r="IG9" s="487"/>
      <c r="IH9" s="487"/>
      <c r="II9" s="487"/>
      <c r="IJ9" s="487"/>
      <c r="IK9" s="487"/>
      <c r="IL9" s="487"/>
      <c r="IM9" s="487"/>
      <c r="IN9" s="487"/>
      <c r="IO9" s="487"/>
      <c r="IP9" s="487"/>
      <c r="IQ9" s="487"/>
      <c r="IR9" s="487"/>
      <c r="IS9" s="487"/>
      <c r="IT9" s="487"/>
    </row>
    <row r="10" s="423" customFormat="1" ht="20.1" customHeight="1" spans="1:254">
      <c r="A10" s="489" t="s">
        <v>9</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c r="CO10" s="487"/>
      <c r="CP10" s="487"/>
      <c r="CQ10" s="487"/>
      <c r="CR10" s="487"/>
      <c r="CS10" s="487"/>
      <c r="CT10" s="487"/>
      <c r="CU10" s="487"/>
      <c r="CV10" s="487"/>
      <c r="CW10" s="487"/>
      <c r="CX10" s="487"/>
      <c r="CY10" s="487"/>
      <c r="CZ10" s="487"/>
      <c r="DA10" s="487"/>
      <c r="DB10" s="487"/>
      <c r="DC10" s="487"/>
      <c r="DD10" s="487"/>
      <c r="DE10" s="487"/>
      <c r="DF10" s="487"/>
      <c r="DG10" s="487"/>
      <c r="DH10" s="487"/>
      <c r="DI10" s="487"/>
      <c r="DJ10" s="487"/>
      <c r="DK10" s="487"/>
      <c r="DL10" s="487"/>
      <c r="DM10" s="487"/>
      <c r="DN10" s="487"/>
      <c r="DO10" s="487"/>
      <c r="DP10" s="487"/>
      <c r="DQ10" s="487"/>
      <c r="DR10" s="487"/>
      <c r="DS10" s="487"/>
      <c r="DT10" s="487"/>
      <c r="DU10" s="487"/>
      <c r="DV10" s="487"/>
      <c r="DW10" s="487"/>
      <c r="DX10" s="487"/>
      <c r="DY10" s="487"/>
      <c r="DZ10" s="487"/>
      <c r="EA10" s="487"/>
      <c r="EB10" s="487"/>
      <c r="EC10" s="487"/>
      <c r="ED10" s="487"/>
      <c r="EE10" s="487"/>
      <c r="EF10" s="487"/>
      <c r="EG10" s="487"/>
      <c r="EH10" s="487"/>
      <c r="EI10" s="487"/>
      <c r="EJ10" s="487"/>
      <c r="EK10" s="487"/>
      <c r="EL10" s="487"/>
      <c r="EM10" s="487"/>
      <c r="EN10" s="487"/>
      <c r="EO10" s="487"/>
      <c r="EP10" s="487"/>
      <c r="EQ10" s="487"/>
      <c r="ER10" s="487"/>
      <c r="ES10" s="487"/>
      <c r="ET10" s="487"/>
      <c r="EU10" s="487"/>
      <c r="EV10" s="487"/>
      <c r="EW10" s="487"/>
      <c r="EX10" s="487"/>
      <c r="EY10" s="487"/>
      <c r="EZ10" s="487"/>
      <c r="FA10" s="487"/>
      <c r="FB10" s="487"/>
      <c r="FC10" s="487"/>
      <c r="FD10" s="487"/>
      <c r="FE10" s="487"/>
      <c r="FF10" s="487"/>
      <c r="FG10" s="487"/>
      <c r="FH10" s="487"/>
      <c r="FI10" s="487"/>
      <c r="FJ10" s="487"/>
      <c r="FK10" s="487"/>
      <c r="FL10" s="487"/>
      <c r="FM10" s="487"/>
      <c r="FN10" s="487"/>
      <c r="FO10" s="487"/>
      <c r="FP10" s="487"/>
      <c r="FQ10" s="487"/>
      <c r="FR10" s="487"/>
      <c r="FS10" s="487"/>
      <c r="FT10" s="487"/>
      <c r="FU10" s="487"/>
      <c r="FV10" s="487"/>
      <c r="FW10" s="487"/>
      <c r="FX10" s="487"/>
      <c r="FY10" s="487"/>
      <c r="FZ10" s="487"/>
      <c r="GA10" s="487"/>
      <c r="GB10" s="487"/>
      <c r="GC10" s="487"/>
      <c r="GD10" s="487"/>
      <c r="GE10" s="487"/>
      <c r="GF10" s="487"/>
      <c r="GG10" s="487"/>
      <c r="GH10" s="487"/>
      <c r="GI10" s="487"/>
      <c r="GJ10" s="487"/>
      <c r="GK10" s="487"/>
      <c r="GL10" s="487"/>
      <c r="GM10" s="487"/>
      <c r="GN10" s="487"/>
      <c r="GO10" s="487"/>
      <c r="GP10" s="487"/>
      <c r="GQ10" s="487"/>
      <c r="GR10" s="487"/>
      <c r="GS10" s="487"/>
      <c r="GT10" s="487"/>
      <c r="GU10" s="487"/>
      <c r="GV10" s="487"/>
      <c r="GW10" s="487"/>
      <c r="GX10" s="487"/>
      <c r="GY10" s="487"/>
      <c r="GZ10" s="487"/>
      <c r="HA10" s="487"/>
      <c r="HB10" s="487"/>
      <c r="HC10" s="487"/>
      <c r="HD10" s="487"/>
      <c r="HE10" s="487"/>
      <c r="HF10" s="487"/>
      <c r="HG10" s="487"/>
      <c r="HH10" s="487"/>
      <c r="HI10" s="487"/>
      <c r="HJ10" s="487"/>
      <c r="HK10" s="487"/>
      <c r="HL10" s="487"/>
      <c r="HM10" s="487"/>
      <c r="HN10" s="487"/>
      <c r="HO10" s="487"/>
      <c r="HP10" s="487"/>
      <c r="HQ10" s="487"/>
      <c r="HR10" s="487"/>
      <c r="HS10" s="487"/>
      <c r="HT10" s="487"/>
      <c r="HU10" s="487"/>
      <c r="HV10" s="487"/>
      <c r="HW10" s="487"/>
      <c r="HX10" s="487"/>
      <c r="HY10" s="487"/>
      <c r="HZ10" s="487"/>
      <c r="IA10" s="487"/>
      <c r="IB10" s="487"/>
      <c r="IC10" s="487"/>
      <c r="ID10" s="487"/>
      <c r="IE10" s="487"/>
      <c r="IF10" s="487"/>
      <c r="IG10" s="487"/>
      <c r="IH10" s="487"/>
      <c r="II10" s="487"/>
      <c r="IJ10" s="487"/>
      <c r="IK10" s="487"/>
      <c r="IL10" s="487"/>
      <c r="IM10" s="487"/>
      <c r="IN10" s="487"/>
      <c r="IO10" s="487"/>
      <c r="IP10" s="487"/>
      <c r="IQ10" s="487"/>
      <c r="IR10" s="487"/>
      <c r="IS10" s="487"/>
      <c r="IT10" s="487"/>
    </row>
    <row r="11" s="423" customFormat="1" ht="39.9" customHeight="1" spans="1:254">
      <c r="A11" s="490" t="s">
        <v>10</v>
      </c>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c r="CA11" s="487"/>
      <c r="CB11" s="487"/>
      <c r="CC11" s="487"/>
      <c r="CD11" s="487"/>
      <c r="CE11" s="487"/>
      <c r="CF11" s="487"/>
      <c r="CG11" s="487"/>
      <c r="CH11" s="487"/>
      <c r="CI11" s="487"/>
      <c r="CJ11" s="487"/>
      <c r="CK11" s="487"/>
      <c r="CL11" s="487"/>
      <c r="CM11" s="487"/>
      <c r="CN11" s="487"/>
      <c r="CO11" s="487"/>
      <c r="CP11" s="487"/>
      <c r="CQ11" s="487"/>
      <c r="CR11" s="487"/>
      <c r="CS11" s="487"/>
      <c r="CT11" s="487"/>
      <c r="CU11" s="487"/>
      <c r="CV11" s="487"/>
      <c r="CW11" s="487"/>
      <c r="CX11" s="487"/>
      <c r="CY11" s="487"/>
      <c r="CZ11" s="487"/>
      <c r="DA11" s="487"/>
      <c r="DB11" s="487"/>
      <c r="DC11" s="487"/>
      <c r="DD11" s="487"/>
      <c r="DE11" s="487"/>
      <c r="DF11" s="487"/>
      <c r="DG11" s="487"/>
      <c r="DH11" s="487"/>
      <c r="DI11" s="487"/>
      <c r="DJ11" s="487"/>
      <c r="DK11" s="487"/>
      <c r="DL11" s="487"/>
      <c r="DM11" s="487"/>
      <c r="DN11" s="487"/>
      <c r="DO11" s="487"/>
      <c r="DP11" s="487"/>
      <c r="DQ11" s="487"/>
      <c r="DR11" s="487"/>
      <c r="DS11" s="487"/>
      <c r="DT11" s="487"/>
      <c r="DU11" s="487"/>
      <c r="DV11" s="487"/>
      <c r="DW11" s="487"/>
      <c r="DX11" s="487"/>
      <c r="DY11" s="487"/>
      <c r="DZ11" s="487"/>
      <c r="EA11" s="487"/>
      <c r="EB11" s="487"/>
      <c r="EC11" s="487"/>
      <c r="ED11" s="487"/>
      <c r="EE11" s="487"/>
      <c r="EF11" s="487"/>
      <c r="EG11" s="487"/>
      <c r="EH11" s="487"/>
      <c r="EI11" s="487"/>
      <c r="EJ11" s="487"/>
      <c r="EK11" s="487"/>
      <c r="EL11" s="487"/>
      <c r="EM11" s="487"/>
      <c r="EN11" s="487"/>
      <c r="EO11" s="487"/>
      <c r="EP11" s="487"/>
      <c r="EQ11" s="487"/>
      <c r="ER11" s="487"/>
      <c r="ES11" s="487"/>
      <c r="ET11" s="487"/>
      <c r="EU11" s="487"/>
      <c r="EV11" s="487"/>
      <c r="EW11" s="487"/>
      <c r="EX11" s="487"/>
      <c r="EY11" s="487"/>
      <c r="EZ11" s="487"/>
      <c r="FA11" s="487"/>
      <c r="FB11" s="487"/>
      <c r="FC11" s="487"/>
      <c r="FD11" s="487"/>
      <c r="FE11" s="487"/>
      <c r="FF11" s="487"/>
      <c r="FG11" s="487"/>
      <c r="FH11" s="487"/>
      <c r="FI11" s="487"/>
      <c r="FJ11" s="487"/>
      <c r="FK11" s="487"/>
      <c r="FL11" s="487"/>
      <c r="FM11" s="487"/>
      <c r="FN11" s="487"/>
      <c r="FO11" s="487"/>
      <c r="FP11" s="487"/>
      <c r="FQ11" s="487"/>
      <c r="FR11" s="487"/>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7"/>
      <c r="GU11" s="487"/>
      <c r="GV11" s="487"/>
      <c r="GW11" s="487"/>
      <c r="GX11" s="487"/>
      <c r="GY11" s="487"/>
      <c r="GZ11" s="487"/>
      <c r="HA11" s="487"/>
      <c r="HB11" s="487"/>
      <c r="HC11" s="487"/>
      <c r="HD11" s="487"/>
      <c r="HE11" s="487"/>
      <c r="HF11" s="487"/>
      <c r="HG11" s="487"/>
      <c r="HH11" s="487"/>
      <c r="HI11" s="487"/>
      <c r="HJ11" s="487"/>
      <c r="HK11" s="487"/>
      <c r="HL11" s="487"/>
      <c r="HM11" s="487"/>
      <c r="HN11" s="487"/>
      <c r="HO11" s="487"/>
      <c r="HP11" s="487"/>
      <c r="HQ11" s="487"/>
      <c r="HR11" s="487"/>
      <c r="HS11" s="487"/>
      <c r="HT11" s="487"/>
      <c r="HU11" s="487"/>
      <c r="HV11" s="487"/>
      <c r="HW11" s="487"/>
      <c r="HX11" s="487"/>
      <c r="HY11" s="487"/>
      <c r="HZ11" s="487"/>
      <c r="IA11" s="487"/>
      <c r="IB11" s="487"/>
      <c r="IC11" s="487"/>
      <c r="ID11" s="487"/>
      <c r="IE11" s="487"/>
      <c r="IF11" s="487"/>
      <c r="IG11" s="487"/>
      <c r="IH11" s="487"/>
      <c r="II11" s="487"/>
      <c r="IJ11" s="487"/>
      <c r="IK11" s="487"/>
      <c r="IL11" s="487"/>
      <c r="IM11" s="487"/>
      <c r="IN11" s="487"/>
      <c r="IO11" s="487"/>
      <c r="IP11" s="487"/>
      <c r="IQ11" s="487"/>
      <c r="IR11" s="487"/>
      <c r="IS11" s="487"/>
      <c r="IT11" s="487"/>
    </row>
    <row r="12" s="423" customFormat="1" ht="39.9" customHeight="1" spans="1:254">
      <c r="A12" s="491" t="s">
        <v>11</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7"/>
      <c r="CQ12" s="487"/>
      <c r="CR12" s="487"/>
      <c r="CS12" s="487"/>
      <c r="CT12" s="487"/>
      <c r="CU12" s="487"/>
      <c r="CV12" s="487"/>
      <c r="CW12" s="487"/>
      <c r="CX12" s="487"/>
      <c r="CY12" s="487"/>
      <c r="CZ12" s="487"/>
      <c r="DA12" s="487"/>
      <c r="DB12" s="487"/>
      <c r="DC12" s="487"/>
      <c r="DD12" s="487"/>
      <c r="DE12" s="487"/>
      <c r="DF12" s="487"/>
      <c r="DG12" s="487"/>
      <c r="DH12" s="487"/>
      <c r="DI12" s="487"/>
      <c r="DJ12" s="487"/>
      <c r="DK12" s="487"/>
      <c r="DL12" s="487"/>
      <c r="DM12" s="487"/>
      <c r="DN12" s="487"/>
      <c r="DO12" s="487"/>
      <c r="DP12" s="487"/>
      <c r="DQ12" s="487"/>
      <c r="DR12" s="487"/>
      <c r="DS12" s="487"/>
      <c r="DT12" s="487"/>
      <c r="DU12" s="487"/>
      <c r="DV12" s="487"/>
      <c r="DW12" s="487"/>
      <c r="DX12" s="487"/>
      <c r="DY12" s="487"/>
      <c r="DZ12" s="487"/>
      <c r="EA12" s="487"/>
      <c r="EB12" s="487"/>
      <c r="EC12" s="487"/>
      <c r="ED12" s="487"/>
      <c r="EE12" s="487"/>
      <c r="EF12" s="487"/>
      <c r="EG12" s="487"/>
      <c r="EH12" s="487"/>
      <c r="EI12" s="487"/>
      <c r="EJ12" s="487"/>
      <c r="EK12" s="487"/>
      <c r="EL12" s="487"/>
      <c r="EM12" s="487"/>
      <c r="EN12" s="487"/>
      <c r="EO12" s="487"/>
      <c r="EP12" s="487"/>
      <c r="EQ12" s="487"/>
      <c r="ER12" s="487"/>
      <c r="ES12" s="487"/>
      <c r="ET12" s="487"/>
      <c r="EU12" s="487"/>
      <c r="EV12" s="487"/>
      <c r="EW12" s="487"/>
      <c r="EX12" s="487"/>
      <c r="EY12" s="487"/>
      <c r="EZ12" s="487"/>
      <c r="FA12" s="487"/>
      <c r="FB12" s="487"/>
      <c r="FC12" s="487"/>
      <c r="FD12" s="487"/>
      <c r="FE12" s="487"/>
      <c r="FF12" s="487"/>
      <c r="FG12" s="487"/>
      <c r="FH12" s="487"/>
      <c r="FI12" s="487"/>
      <c r="FJ12" s="487"/>
      <c r="FK12" s="487"/>
      <c r="FL12" s="487"/>
      <c r="FM12" s="487"/>
      <c r="FN12" s="487"/>
      <c r="FO12" s="487"/>
      <c r="FP12" s="487"/>
      <c r="FQ12" s="487"/>
      <c r="FR12" s="487"/>
      <c r="FS12" s="487"/>
      <c r="FT12" s="487"/>
      <c r="FU12" s="487"/>
      <c r="FV12" s="487"/>
      <c r="FW12" s="487"/>
      <c r="FX12" s="487"/>
      <c r="FY12" s="487"/>
      <c r="FZ12" s="487"/>
      <c r="GA12" s="487"/>
      <c r="GB12" s="487"/>
      <c r="GC12" s="487"/>
      <c r="GD12" s="487"/>
      <c r="GE12" s="487"/>
      <c r="GF12" s="487"/>
      <c r="GG12" s="487"/>
      <c r="GH12" s="487"/>
      <c r="GI12" s="487"/>
      <c r="GJ12" s="487"/>
      <c r="GK12" s="487"/>
      <c r="GL12" s="487"/>
      <c r="GM12" s="487"/>
      <c r="GN12" s="487"/>
      <c r="GO12" s="487"/>
      <c r="GP12" s="487"/>
      <c r="GQ12" s="487"/>
      <c r="GR12" s="487"/>
      <c r="GS12" s="487"/>
      <c r="GT12" s="487"/>
      <c r="GU12" s="487"/>
      <c r="GV12" s="487"/>
      <c r="GW12" s="487"/>
      <c r="GX12" s="487"/>
      <c r="GY12" s="487"/>
      <c r="GZ12" s="487"/>
      <c r="HA12" s="487"/>
      <c r="HB12" s="487"/>
      <c r="HC12" s="487"/>
      <c r="HD12" s="487"/>
      <c r="HE12" s="487"/>
      <c r="HF12" s="487"/>
      <c r="HG12" s="487"/>
      <c r="HH12" s="487"/>
      <c r="HI12" s="487"/>
      <c r="HJ12" s="487"/>
      <c r="HK12" s="487"/>
      <c r="HL12" s="487"/>
      <c r="HM12" s="487"/>
      <c r="HN12" s="487"/>
      <c r="HO12" s="487"/>
      <c r="HP12" s="487"/>
      <c r="HQ12" s="487"/>
      <c r="HR12" s="487"/>
      <c r="HS12" s="487"/>
      <c r="HT12" s="487"/>
      <c r="HU12" s="487"/>
      <c r="HV12" s="487"/>
      <c r="HW12" s="487"/>
      <c r="HX12" s="487"/>
      <c r="HY12" s="487"/>
      <c r="HZ12" s="487"/>
      <c r="IA12" s="487"/>
      <c r="IB12" s="487"/>
      <c r="IC12" s="487"/>
      <c r="ID12" s="487"/>
      <c r="IE12" s="487"/>
      <c r="IF12" s="487"/>
      <c r="IG12" s="487"/>
      <c r="IH12" s="487"/>
      <c r="II12" s="487"/>
      <c r="IJ12" s="487"/>
      <c r="IK12" s="487"/>
      <c r="IL12" s="487"/>
      <c r="IM12" s="487"/>
      <c r="IN12" s="487"/>
      <c r="IO12" s="487"/>
      <c r="IP12" s="487"/>
      <c r="IQ12" s="487"/>
      <c r="IR12" s="487"/>
      <c r="IS12" s="487"/>
      <c r="IT12" s="487"/>
    </row>
    <row r="13" s="423" customFormat="1" ht="20.1" customHeight="1" spans="1:254">
      <c r="A13" s="491" t="s">
        <v>12</v>
      </c>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c r="CP13" s="487"/>
      <c r="CQ13" s="487"/>
      <c r="CR13" s="487"/>
      <c r="CS13" s="487"/>
      <c r="CT13" s="487"/>
      <c r="CU13" s="487"/>
      <c r="CV13" s="487"/>
      <c r="CW13" s="487"/>
      <c r="CX13" s="487"/>
      <c r="CY13" s="487"/>
      <c r="CZ13" s="487"/>
      <c r="DA13" s="487"/>
      <c r="DB13" s="487"/>
      <c r="DC13" s="487"/>
      <c r="DD13" s="487"/>
      <c r="DE13" s="487"/>
      <c r="DF13" s="487"/>
      <c r="DG13" s="487"/>
      <c r="DH13" s="487"/>
      <c r="DI13" s="487"/>
      <c r="DJ13" s="487"/>
      <c r="DK13" s="487"/>
      <c r="DL13" s="487"/>
      <c r="DM13" s="487"/>
      <c r="DN13" s="487"/>
      <c r="DO13" s="487"/>
      <c r="DP13" s="487"/>
      <c r="DQ13" s="487"/>
      <c r="DR13" s="487"/>
      <c r="DS13" s="487"/>
      <c r="DT13" s="487"/>
      <c r="DU13" s="487"/>
      <c r="DV13" s="487"/>
      <c r="DW13" s="487"/>
      <c r="DX13" s="487"/>
      <c r="DY13" s="487"/>
      <c r="DZ13" s="487"/>
      <c r="EA13" s="487"/>
      <c r="EB13" s="487"/>
      <c r="EC13" s="487"/>
      <c r="ED13" s="487"/>
      <c r="EE13" s="487"/>
      <c r="EF13" s="487"/>
      <c r="EG13" s="487"/>
      <c r="EH13" s="487"/>
      <c r="EI13" s="487"/>
      <c r="EJ13" s="487"/>
      <c r="EK13" s="487"/>
      <c r="EL13" s="487"/>
      <c r="EM13" s="487"/>
      <c r="EN13" s="487"/>
      <c r="EO13" s="487"/>
      <c r="EP13" s="487"/>
      <c r="EQ13" s="487"/>
      <c r="ER13" s="487"/>
      <c r="ES13" s="487"/>
      <c r="ET13" s="487"/>
      <c r="EU13" s="487"/>
      <c r="EV13" s="487"/>
      <c r="EW13" s="487"/>
      <c r="EX13" s="487"/>
      <c r="EY13" s="487"/>
      <c r="EZ13" s="487"/>
      <c r="FA13" s="487"/>
      <c r="FB13" s="487"/>
      <c r="FC13" s="487"/>
      <c r="FD13" s="487"/>
      <c r="FE13" s="487"/>
      <c r="FF13" s="487"/>
      <c r="FG13" s="487"/>
      <c r="FH13" s="487"/>
      <c r="FI13" s="487"/>
      <c r="FJ13" s="487"/>
      <c r="FK13" s="487"/>
      <c r="FL13" s="487"/>
      <c r="FM13" s="487"/>
      <c r="FN13" s="487"/>
      <c r="FO13" s="487"/>
      <c r="FP13" s="487"/>
      <c r="FQ13" s="487"/>
      <c r="FR13" s="487"/>
      <c r="FS13" s="487"/>
      <c r="FT13" s="487"/>
      <c r="FU13" s="487"/>
      <c r="FV13" s="487"/>
      <c r="FW13" s="487"/>
      <c r="FX13" s="487"/>
      <c r="FY13" s="487"/>
      <c r="FZ13" s="487"/>
      <c r="GA13" s="487"/>
      <c r="GB13" s="487"/>
      <c r="GC13" s="487"/>
      <c r="GD13" s="487"/>
      <c r="GE13" s="487"/>
      <c r="GF13" s="487"/>
      <c r="GG13" s="487"/>
      <c r="GH13" s="487"/>
      <c r="GI13" s="487"/>
      <c r="GJ13" s="487"/>
      <c r="GK13" s="487"/>
      <c r="GL13" s="487"/>
      <c r="GM13" s="487"/>
      <c r="GN13" s="487"/>
      <c r="GO13" s="487"/>
      <c r="GP13" s="487"/>
      <c r="GQ13" s="487"/>
      <c r="GR13" s="487"/>
      <c r="GS13" s="487"/>
      <c r="GT13" s="487"/>
      <c r="GU13" s="487"/>
      <c r="GV13" s="487"/>
      <c r="GW13" s="487"/>
      <c r="GX13" s="487"/>
      <c r="GY13" s="487"/>
      <c r="GZ13" s="487"/>
      <c r="HA13" s="487"/>
      <c r="HB13" s="487"/>
      <c r="HC13" s="487"/>
      <c r="HD13" s="487"/>
      <c r="HE13" s="487"/>
      <c r="HF13" s="487"/>
      <c r="HG13" s="487"/>
      <c r="HH13" s="487"/>
      <c r="HI13" s="487"/>
      <c r="HJ13" s="487"/>
      <c r="HK13" s="487"/>
      <c r="HL13" s="487"/>
      <c r="HM13" s="487"/>
      <c r="HN13" s="487"/>
      <c r="HO13" s="487"/>
      <c r="HP13" s="487"/>
      <c r="HQ13" s="487"/>
      <c r="HR13" s="487"/>
      <c r="HS13" s="487"/>
      <c r="HT13" s="487"/>
      <c r="HU13" s="487"/>
      <c r="HV13" s="487"/>
      <c r="HW13" s="487"/>
      <c r="HX13" s="487"/>
      <c r="HY13" s="487"/>
      <c r="HZ13" s="487"/>
      <c r="IA13" s="487"/>
      <c r="IB13" s="487"/>
      <c r="IC13" s="487"/>
      <c r="ID13" s="487"/>
      <c r="IE13" s="487"/>
      <c r="IF13" s="487"/>
      <c r="IG13" s="487"/>
      <c r="IH13" s="487"/>
      <c r="II13" s="487"/>
      <c r="IJ13" s="487"/>
      <c r="IK13" s="487"/>
      <c r="IL13" s="487"/>
      <c r="IM13" s="487"/>
      <c r="IN13" s="487"/>
      <c r="IO13" s="487"/>
      <c r="IP13" s="487"/>
      <c r="IQ13" s="487"/>
      <c r="IR13" s="487"/>
      <c r="IS13" s="487"/>
      <c r="IT13" s="487"/>
    </row>
    <row r="14" s="423" customFormat="1" ht="52.05" customHeight="1" spans="1:254">
      <c r="A14" s="490" t="s">
        <v>13</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7"/>
      <c r="CM14" s="487"/>
      <c r="CN14" s="487"/>
      <c r="CO14" s="487"/>
      <c r="CP14" s="487"/>
      <c r="CQ14" s="487"/>
      <c r="CR14" s="487"/>
      <c r="CS14" s="487"/>
      <c r="CT14" s="487"/>
      <c r="CU14" s="487"/>
      <c r="CV14" s="487"/>
      <c r="CW14" s="487"/>
      <c r="CX14" s="487"/>
      <c r="CY14" s="487"/>
      <c r="CZ14" s="487"/>
      <c r="DA14" s="487"/>
      <c r="DB14" s="487"/>
      <c r="DC14" s="487"/>
      <c r="DD14" s="487"/>
      <c r="DE14" s="487"/>
      <c r="DF14" s="487"/>
      <c r="DG14" s="487"/>
      <c r="DH14" s="487"/>
      <c r="DI14" s="487"/>
      <c r="DJ14" s="487"/>
      <c r="DK14" s="487"/>
      <c r="DL14" s="487"/>
      <c r="DM14" s="487"/>
      <c r="DN14" s="487"/>
      <c r="DO14" s="487"/>
      <c r="DP14" s="487"/>
      <c r="DQ14" s="487"/>
      <c r="DR14" s="487"/>
      <c r="DS14" s="487"/>
      <c r="DT14" s="487"/>
      <c r="DU14" s="487"/>
      <c r="DV14" s="487"/>
      <c r="DW14" s="487"/>
      <c r="DX14" s="487"/>
      <c r="DY14" s="487"/>
      <c r="DZ14" s="487"/>
      <c r="EA14" s="487"/>
      <c r="EB14" s="487"/>
      <c r="EC14" s="487"/>
      <c r="ED14" s="487"/>
      <c r="EE14" s="487"/>
      <c r="EF14" s="487"/>
      <c r="EG14" s="487"/>
      <c r="EH14" s="487"/>
      <c r="EI14" s="487"/>
      <c r="EJ14" s="487"/>
      <c r="EK14" s="487"/>
      <c r="EL14" s="487"/>
      <c r="EM14" s="487"/>
      <c r="EN14" s="487"/>
      <c r="EO14" s="487"/>
      <c r="EP14" s="487"/>
      <c r="EQ14" s="487"/>
      <c r="ER14" s="487"/>
      <c r="ES14" s="487"/>
      <c r="ET14" s="487"/>
      <c r="EU14" s="487"/>
      <c r="EV14" s="487"/>
      <c r="EW14" s="487"/>
      <c r="EX14" s="487"/>
      <c r="EY14" s="487"/>
      <c r="EZ14" s="487"/>
      <c r="FA14" s="487"/>
      <c r="FB14" s="487"/>
      <c r="FC14" s="487"/>
      <c r="FD14" s="487"/>
      <c r="FE14" s="487"/>
      <c r="FF14" s="487"/>
      <c r="FG14" s="487"/>
      <c r="FH14" s="487"/>
      <c r="FI14" s="487"/>
      <c r="FJ14" s="487"/>
      <c r="FK14" s="487"/>
      <c r="FL14" s="487"/>
      <c r="FM14" s="487"/>
      <c r="FN14" s="487"/>
      <c r="FO14" s="487"/>
      <c r="FP14" s="487"/>
      <c r="FQ14" s="487"/>
      <c r="FR14" s="487"/>
      <c r="FS14" s="487"/>
      <c r="FT14" s="487"/>
      <c r="FU14" s="487"/>
      <c r="FV14" s="487"/>
      <c r="FW14" s="487"/>
      <c r="FX14" s="487"/>
      <c r="FY14" s="487"/>
      <c r="FZ14" s="487"/>
      <c r="GA14" s="487"/>
      <c r="GB14" s="487"/>
      <c r="GC14" s="487"/>
      <c r="GD14" s="487"/>
      <c r="GE14" s="487"/>
      <c r="GF14" s="487"/>
      <c r="GG14" s="487"/>
      <c r="GH14" s="487"/>
      <c r="GI14" s="487"/>
      <c r="GJ14" s="487"/>
      <c r="GK14" s="487"/>
      <c r="GL14" s="487"/>
      <c r="GM14" s="487"/>
      <c r="GN14" s="487"/>
      <c r="GO14" s="487"/>
      <c r="GP14" s="487"/>
      <c r="GQ14" s="487"/>
      <c r="GR14" s="487"/>
      <c r="GS14" s="487"/>
      <c r="GT14" s="487"/>
      <c r="GU14" s="487"/>
      <c r="GV14" s="487"/>
      <c r="GW14" s="487"/>
      <c r="GX14" s="487"/>
      <c r="GY14" s="487"/>
      <c r="GZ14" s="487"/>
      <c r="HA14" s="487"/>
      <c r="HB14" s="487"/>
      <c r="HC14" s="487"/>
      <c r="HD14" s="487"/>
      <c r="HE14" s="487"/>
      <c r="HF14" s="487"/>
      <c r="HG14" s="487"/>
      <c r="HH14" s="487"/>
      <c r="HI14" s="487"/>
      <c r="HJ14" s="487"/>
      <c r="HK14" s="487"/>
      <c r="HL14" s="487"/>
      <c r="HM14" s="487"/>
      <c r="HN14" s="487"/>
      <c r="HO14" s="487"/>
      <c r="HP14" s="487"/>
      <c r="HQ14" s="487"/>
      <c r="HR14" s="487"/>
      <c r="HS14" s="487"/>
      <c r="HT14" s="487"/>
      <c r="HU14" s="487"/>
      <c r="HV14" s="487"/>
      <c r="HW14" s="487"/>
      <c r="HX14" s="487"/>
      <c r="HY14" s="487"/>
      <c r="HZ14" s="487"/>
      <c r="IA14" s="487"/>
      <c r="IB14" s="487"/>
      <c r="IC14" s="487"/>
      <c r="ID14" s="487"/>
      <c r="IE14" s="487"/>
      <c r="IF14" s="487"/>
      <c r="IG14" s="487"/>
      <c r="IH14" s="487"/>
      <c r="II14" s="487"/>
      <c r="IJ14" s="487"/>
      <c r="IK14" s="487"/>
      <c r="IL14" s="487"/>
      <c r="IM14" s="487"/>
      <c r="IN14" s="487"/>
      <c r="IO14" s="487"/>
      <c r="IP14" s="487"/>
      <c r="IQ14" s="487"/>
      <c r="IR14" s="487"/>
      <c r="IS14" s="487"/>
      <c r="IT14" s="487"/>
    </row>
    <row r="15" s="423" customFormat="1" ht="20.1" customHeight="1" spans="1:254">
      <c r="A15" s="490" t="s">
        <v>14</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7"/>
      <c r="DF15" s="487"/>
      <c r="DG15" s="487"/>
      <c r="DH15" s="487"/>
      <c r="DI15" s="487"/>
      <c r="DJ15" s="487"/>
      <c r="DK15" s="487"/>
      <c r="DL15" s="487"/>
      <c r="DM15" s="487"/>
      <c r="DN15" s="487"/>
      <c r="DO15" s="487"/>
      <c r="DP15" s="487"/>
      <c r="DQ15" s="487"/>
      <c r="DR15" s="487"/>
      <c r="DS15" s="487"/>
      <c r="DT15" s="487"/>
      <c r="DU15" s="487"/>
      <c r="DV15" s="487"/>
      <c r="DW15" s="487"/>
      <c r="DX15" s="487"/>
      <c r="DY15" s="487"/>
      <c r="DZ15" s="487"/>
      <c r="EA15" s="487"/>
      <c r="EB15" s="487"/>
      <c r="EC15" s="487"/>
      <c r="ED15" s="487"/>
      <c r="EE15" s="487"/>
      <c r="EF15" s="487"/>
      <c r="EG15" s="487"/>
      <c r="EH15" s="487"/>
      <c r="EI15" s="487"/>
      <c r="EJ15" s="487"/>
      <c r="EK15" s="487"/>
      <c r="EL15" s="487"/>
      <c r="EM15" s="487"/>
      <c r="EN15" s="487"/>
      <c r="EO15" s="487"/>
      <c r="EP15" s="487"/>
      <c r="EQ15" s="487"/>
      <c r="ER15" s="487"/>
      <c r="ES15" s="487"/>
      <c r="ET15" s="487"/>
      <c r="EU15" s="487"/>
      <c r="EV15" s="487"/>
      <c r="EW15" s="487"/>
      <c r="EX15" s="487"/>
      <c r="EY15" s="487"/>
      <c r="EZ15" s="487"/>
      <c r="FA15" s="487"/>
      <c r="FB15" s="487"/>
      <c r="FC15" s="487"/>
      <c r="FD15" s="487"/>
      <c r="FE15" s="487"/>
      <c r="FF15" s="487"/>
      <c r="FG15" s="487"/>
      <c r="FH15" s="487"/>
      <c r="FI15" s="487"/>
      <c r="FJ15" s="487"/>
      <c r="FK15" s="487"/>
      <c r="FL15" s="487"/>
      <c r="FM15" s="487"/>
      <c r="FN15" s="487"/>
      <c r="FO15" s="487"/>
      <c r="FP15" s="487"/>
      <c r="FQ15" s="487"/>
      <c r="FR15" s="487"/>
      <c r="FS15" s="487"/>
      <c r="FT15" s="487"/>
      <c r="FU15" s="487"/>
      <c r="FV15" s="487"/>
      <c r="FW15" s="487"/>
      <c r="FX15" s="487"/>
      <c r="FY15" s="487"/>
      <c r="FZ15" s="487"/>
      <c r="GA15" s="487"/>
      <c r="GB15" s="487"/>
      <c r="GC15" s="487"/>
      <c r="GD15" s="487"/>
      <c r="GE15" s="487"/>
      <c r="GF15" s="487"/>
      <c r="GG15" s="487"/>
      <c r="GH15" s="487"/>
      <c r="GI15" s="487"/>
      <c r="GJ15" s="487"/>
      <c r="GK15" s="487"/>
      <c r="GL15" s="487"/>
      <c r="GM15" s="487"/>
      <c r="GN15" s="487"/>
      <c r="GO15" s="487"/>
      <c r="GP15" s="487"/>
      <c r="GQ15" s="487"/>
      <c r="GR15" s="487"/>
      <c r="GS15" s="487"/>
      <c r="GT15" s="487"/>
      <c r="GU15" s="487"/>
      <c r="GV15" s="487"/>
      <c r="GW15" s="487"/>
      <c r="GX15" s="487"/>
      <c r="GY15" s="487"/>
      <c r="GZ15" s="487"/>
      <c r="HA15" s="487"/>
      <c r="HB15" s="487"/>
      <c r="HC15" s="487"/>
      <c r="HD15" s="487"/>
      <c r="HE15" s="487"/>
      <c r="HF15" s="487"/>
      <c r="HG15" s="487"/>
      <c r="HH15" s="487"/>
      <c r="HI15" s="487"/>
      <c r="HJ15" s="487"/>
      <c r="HK15" s="487"/>
      <c r="HL15" s="487"/>
      <c r="HM15" s="487"/>
      <c r="HN15" s="487"/>
      <c r="HO15" s="487"/>
      <c r="HP15" s="487"/>
      <c r="HQ15" s="487"/>
      <c r="HR15" s="487"/>
      <c r="HS15" s="487"/>
      <c r="HT15" s="487"/>
      <c r="HU15" s="487"/>
      <c r="HV15" s="487"/>
      <c r="HW15" s="487"/>
      <c r="HX15" s="487"/>
      <c r="HY15" s="487"/>
      <c r="HZ15" s="487"/>
      <c r="IA15" s="487"/>
      <c r="IB15" s="487"/>
      <c r="IC15" s="487"/>
      <c r="ID15" s="487"/>
      <c r="IE15" s="487"/>
      <c r="IF15" s="487"/>
      <c r="IG15" s="487"/>
      <c r="IH15" s="487"/>
      <c r="II15" s="487"/>
      <c r="IJ15" s="487"/>
      <c r="IK15" s="487"/>
      <c r="IL15" s="487"/>
      <c r="IM15" s="487"/>
      <c r="IN15" s="487"/>
      <c r="IO15" s="487"/>
      <c r="IP15" s="487"/>
      <c r="IQ15" s="487"/>
      <c r="IR15" s="487"/>
      <c r="IS15" s="487"/>
      <c r="IT15" s="487"/>
    </row>
    <row r="16" s="423" customFormat="1" ht="20.1" customHeight="1" spans="1:254">
      <c r="A16" s="491" t="s">
        <v>15</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7"/>
      <c r="CM16" s="487"/>
      <c r="CN16" s="487"/>
      <c r="CO16" s="487"/>
      <c r="CP16" s="487"/>
      <c r="CQ16" s="487"/>
      <c r="CR16" s="487"/>
      <c r="CS16" s="487"/>
      <c r="CT16" s="487"/>
      <c r="CU16" s="487"/>
      <c r="CV16" s="487"/>
      <c r="CW16" s="487"/>
      <c r="CX16" s="487"/>
      <c r="CY16" s="487"/>
      <c r="CZ16" s="487"/>
      <c r="DA16" s="487"/>
      <c r="DB16" s="487"/>
      <c r="DC16" s="487"/>
      <c r="DD16" s="487"/>
      <c r="DE16" s="487"/>
      <c r="DF16" s="487"/>
      <c r="DG16" s="487"/>
      <c r="DH16" s="487"/>
      <c r="DI16" s="487"/>
      <c r="DJ16" s="487"/>
      <c r="DK16" s="487"/>
      <c r="DL16" s="487"/>
      <c r="DM16" s="487"/>
      <c r="DN16" s="487"/>
      <c r="DO16" s="487"/>
      <c r="DP16" s="487"/>
      <c r="DQ16" s="487"/>
      <c r="DR16" s="487"/>
      <c r="DS16" s="487"/>
      <c r="DT16" s="487"/>
      <c r="DU16" s="487"/>
      <c r="DV16" s="487"/>
      <c r="DW16" s="487"/>
      <c r="DX16" s="487"/>
      <c r="DY16" s="487"/>
      <c r="DZ16" s="487"/>
      <c r="EA16" s="487"/>
      <c r="EB16" s="487"/>
      <c r="EC16" s="487"/>
      <c r="ED16" s="487"/>
      <c r="EE16" s="487"/>
      <c r="EF16" s="487"/>
      <c r="EG16" s="487"/>
      <c r="EH16" s="487"/>
      <c r="EI16" s="487"/>
      <c r="EJ16" s="487"/>
      <c r="EK16" s="487"/>
      <c r="EL16" s="487"/>
      <c r="EM16" s="487"/>
      <c r="EN16" s="487"/>
      <c r="EO16" s="487"/>
      <c r="EP16" s="487"/>
      <c r="EQ16" s="487"/>
      <c r="ER16" s="487"/>
      <c r="ES16" s="487"/>
      <c r="ET16" s="487"/>
      <c r="EU16" s="487"/>
      <c r="EV16" s="487"/>
      <c r="EW16" s="487"/>
      <c r="EX16" s="487"/>
      <c r="EY16" s="487"/>
      <c r="EZ16" s="487"/>
      <c r="FA16" s="487"/>
      <c r="FB16" s="487"/>
      <c r="FC16" s="487"/>
      <c r="FD16" s="487"/>
      <c r="FE16" s="487"/>
      <c r="FF16" s="487"/>
      <c r="FG16" s="487"/>
      <c r="FH16" s="487"/>
      <c r="FI16" s="487"/>
      <c r="FJ16" s="487"/>
      <c r="FK16" s="487"/>
      <c r="FL16" s="487"/>
      <c r="FM16" s="487"/>
      <c r="FN16" s="487"/>
      <c r="FO16" s="487"/>
      <c r="FP16" s="487"/>
      <c r="FQ16" s="487"/>
      <c r="FR16" s="487"/>
      <c r="FS16" s="487"/>
      <c r="FT16" s="487"/>
      <c r="FU16" s="487"/>
      <c r="FV16" s="487"/>
      <c r="FW16" s="487"/>
      <c r="FX16" s="487"/>
      <c r="FY16" s="487"/>
      <c r="FZ16" s="487"/>
      <c r="GA16" s="487"/>
      <c r="GB16" s="487"/>
      <c r="GC16" s="487"/>
      <c r="GD16" s="487"/>
      <c r="GE16" s="487"/>
      <c r="GF16" s="487"/>
      <c r="GG16" s="487"/>
      <c r="GH16" s="487"/>
      <c r="GI16" s="487"/>
      <c r="GJ16" s="487"/>
      <c r="GK16" s="487"/>
      <c r="GL16" s="487"/>
      <c r="GM16" s="487"/>
      <c r="GN16" s="487"/>
      <c r="GO16" s="487"/>
      <c r="GP16" s="487"/>
      <c r="GQ16" s="487"/>
      <c r="GR16" s="487"/>
      <c r="GS16" s="487"/>
      <c r="GT16" s="487"/>
      <c r="GU16" s="487"/>
      <c r="GV16" s="487"/>
      <c r="GW16" s="487"/>
      <c r="GX16" s="487"/>
      <c r="GY16" s="487"/>
      <c r="GZ16" s="487"/>
      <c r="HA16" s="487"/>
      <c r="HB16" s="487"/>
      <c r="HC16" s="487"/>
      <c r="HD16" s="487"/>
      <c r="HE16" s="487"/>
      <c r="HF16" s="487"/>
      <c r="HG16" s="487"/>
      <c r="HH16" s="487"/>
      <c r="HI16" s="487"/>
      <c r="HJ16" s="487"/>
      <c r="HK16" s="487"/>
      <c r="HL16" s="487"/>
      <c r="HM16" s="487"/>
      <c r="HN16" s="487"/>
      <c r="HO16" s="487"/>
      <c r="HP16" s="487"/>
      <c r="HQ16" s="487"/>
      <c r="HR16" s="487"/>
      <c r="HS16" s="487"/>
      <c r="HT16" s="487"/>
      <c r="HU16" s="487"/>
      <c r="HV16" s="487"/>
      <c r="HW16" s="487"/>
      <c r="HX16" s="487"/>
      <c r="HY16" s="487"/>
      <c r="HZ16" s="487"/>
      <c r="IA16" s="487"/>
      <c r="IB16" s="487"/>
      <c r="IC16" s="487"/>
      <c r="ID16" s="487"/>
      <c r="IE16" s="487"/>
      <c r="IF16" s="487"/>
      <c r="IG16" s="487"/>
      <c r="IH16" s="487"/>
      <c r="II16" s="487"/>
      <c r="IJ16" s="487"/>
      <c r="IK16" s="487"/>
      <c r="IL16" s="487"/>
      <c r="IM16" s="487"/>
      <c r="IN16" s="487"/>
      <c r="IO16" s="487"/>
      <c r="IP16" s="487"/>
      <c r="IQ16" s="487"/>
      <c r="IR16" s="487"/>
      <c r="IS16" s="487"/>
      <c r="IT16" s="487"/>
    </row>
    <row r="17" s="423" customFormat="1" ht="69.9" customHeight="1" spans="1:254">
      <c r="A17" s="493" t="s">
        <v>16</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87"/>
      <c r="DJ17" s="487"/>
      <c r="DK17" s="487"/>
      <c r="DL17" s="487"/>
      <c r="DM17" s="487"/>
      <c r="DN17" s="487"/>
      <c r="DO17" s="487"/>
      <c r="DP17" s="487"/>
      <c r="DQ17" s="487"/>
      <c r="DR17" s="487"/>
      <c r="DS17" s="487"/>
      <c r="DT17" s="487"/>
      <c r="DU17" s="487"/>
      <c r="DV17" s="487"/>
      <c r="DW17" s="487"/>
      <c r="DX17" s="487"/>
      <c r="DY17" s="487"/>
      <c r="DZ17" s="487"/>
      <c r="EA17" s="487"/>
      <c r="EB17" s="487"/>
      <c r="EC17" s="487"/>
      <c r="ED17" s="487"/>
      <c r="EE17" s="487"/>
      <c r="EF17" s="487"/>
      <c r="EG17" s="487"/>
      <c r="EH17" s="487"/>
      <c r="EI17" s="487"/>
      <c r="EJ17" s="487"/>
      <c r="EK17" s="487"/>
      <c r="EL17" s="487"/>
      <c r="EM17" s="487"/>
      <c r="EN17" s="487"/>
      <c r="EO17" s="487"/>
      <c r="EP17" s="487"/>
      <c r="EQ17" s="487"/>
      <c r="ER17" s="487"/>
      <c r="ES17" s="487"/>
      <c r="ET17" s="487"/>
      <c r="EU17" s="487"/>
      <c r="EV17" s="487"/>
      <c r="EW17" s="487"/>
      <c r="EX17" s="487"/>
      <c r="EY17" s="487"/>
      <c r="EZ17" s="487"/>
      <c r="FA17" s="487"/>
      <c r="FB17" s="487"/>
      <c r="FC17" s="487"/>
      <c r="FD17" s="487"/>
      <c r="FE17" s="487"/>
      <c r="FF17" s="487"/>
      <c r="FG17" s="487"/>
      <c r="FH17" s="487"/>
      <c r="FI17" s="487"/>
      <c r="FJ17" s="487"/>
      <c r="FK17" s="487"/>
      <c r="FL17" s="487"/>
      <c r="FM17" s="487"/>
      <c r="FN17" s="487"/>
      <c r="FO17" s="487"/>
      <c r="FP17" s="487"/>
      <c r="FQ17" s="487"/>
      <c r="FR17" s="487"/>
      <c r="FS17" s="487"/>
      <c r="FT17" s="487"/>
      <c r="FU17" s="487"/>
      <c r="FV17" s="487"/>
      <c r="FW17" s="487"/>
      <c r="FX17" s="487"/>
      <c r="FY17" s="487"/>
      <c r="FZ17" s="487"/>
      <c r="GA17" s="487"/>
      <c r="GB17" s="487"/>
      <c r="GC17" s="487"/>
      <c r="GD17" s="487"/>
      <c r="GE17" s="487"/>
      <c r="GF17" s="487"/>
      <c r="GG17" s="487"/>
      <c r="GH17" s="487"/>
      <c r="GI17" s="487"/>
      <c r="GJ17" s="487"/>
      <c r="GK17" s="487"/>
      <c r="GL17" s="487"/>
      <c r="GM17" s="487"/>
      <c r="GN17" s="487"/>
      <c r="GO17" s="487"/>
      <c r="GP17" s="487"/>
      <c r="GQ17" s="487"/>
      <c r="GR17" s="487"/>
      <c r="GS17" s="487"/>
      <c r="GT17" s="487"/>
      <c r="GU17" s="487"/>
      <c r="GV17" s="487"/>
      <c r="GW17" s="487"/>
      <c r="GX17" s="487"/>
      <c r="GY17" s="487"/>
      <c r="GZ17" s="487"/>
      <c r="HA17" s="487"/>
      <c r="HB17" s="487"/>
      <c r="HC17" s="487"/>
      <c r="HD17" s="487"/>
      <c r="HE17" s="487"/>
      <c r="HF17" s="487"/>
      <c r="HG17" s="487"/>
      <c r="HH17" s="487"/>
      <c r="HI17" s="487"/>
      <c r="HJ17" s="487"/>
      <c r="HK17" s="487"/>
      <c r="HL17" s="487"/>
      <c r="HM17" s="487"/>
      <c r="HN17" s="487"/>
      <c r="HO17" s="487"/>
      <c r="HP17" s="487"/>
      <c r="HQ17" s="487"/>
      <c r="HR17" s="487"/>
      <c r="HS17" s="487"/>
      <c r="HT17" s="487"/>
      <c r="HU17" s="487"/>
      <c r="HV17" s="487"/>
      <c r="HW17" s="487"/>
      <c r="HX17" s="487"/>
      <c r="HY17" s="487"/>
      <c r="HZ17" s="487"/>
      <c r="IA17" s="487"/>
      <c r="IB17" s="487"/>
      <c r="IC17" s="487"/>
      <c r="ID17" s="487"/>
      <c r="IE17" s="487"/>
      <c r="IF17" s="487"/>
      <c r="IG17" s="487"/>
      <c r="IH17" s="487"/>
      <c r="II17" s="487"/>
      <c r="IJ17" s="487"/>
      <c r="IK17" s="487"/>
      <c r="IL17" s="487"/>
      <c r="IM17" s="487"/>
      <c r="IN17" s="487"/>
      <c r="IO17" s="487"/>
      <c r="IP17" s="487"/>
      <c r="IQ17" s="487"/>
      <c r="IR17" s="487"/>
      <c r="IS17" s="487"/>
      <c r="IT17" s="487"/>
    </row>
    <row r="18" s="423" customFormat="1" ht="20.1" customHeight="1" spans="1:254">
      <c r="A18" s="494" t="s">
        <v>17</v>
      </c>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7"/>
      <c r="CM18" s="487"/>
      <c r="CN18" s="487"/>
      <c r="CO18" s="487"/>
      <c r="CP18" s="487"/>
      <c r="CQ18" s="487"/>
      <c r="CR18" s="487"/>
      <c r="CS18" s="487"/>
      <c r="CT18" s="487"/>
      <c r="CU18" s="487"/>
      <c r="CV18" s="487"/>
      <c r="CW18" s="487"/>
      <c r="CX18" s="487"/>
      <c r="CY18" s="487"/>
      <c r="CZ18" s="487"/>
      <c r="DA18" s="487"/>
      <c r="DB18" s="487"/>
      <c r="DC18" s="487"/>
      <c r="DD18" s="487"/>
      <c r="DE18" s="487"/>
      <c r="DF18" s="487"/>
      <c r="DG18" s="487"/>
      <c r="DH18" s="487"/>
      <c r="DI18" s="487"/>
      <c r="DJ18" s="487"/>
      <c r="DK18" s="487"/>
      <c r="DL18" s="487"/>
      <c r="DM18" s="487"/>
      <c r="DN18" s="487"/>
      <c r="DO18" s="487"/>
      <c r="DP18" s="487"/>
      <c r="DQ18" s="487"/>
      <c r="DR18" s="487"/>
      <c r="DS18" s="487"/>
      <c r="DT18" s="487"/>
      <c r="DU18" s="487"/>
      <c r="DV18" s="487"/>
      <c r="DW18" s="487"/>
      <c r="DX18" s="487"/>
      <c r="DY18" s="487"/>
      <c r="DZ18" s="487"/>
      <c r="EA18" s="487"/>
      <c r="EB18" s="487"/>
      <c r="EC18" s="487"/>
      <c r="ED18" s="487"/>
      <c r="EE18" s="487"/>
      <c r="EF18" s="487"/>
      <c r="EG18" s="487"/>
      <c r="EH18" s="487"/>
      <c r="EI18" s="487"/>
      <c r="EJ18" s="487"/>
      <c r="EK18" s="487"/>
      <c r="EL18" s="487"/>
      <c r="EM18" s="487"/>
      <c r="EN18" s="487"/>
      <c r="EO18" s="487"/>
      <c r="EP18" s="487"/>
      <c r="EQ18" s="487"/>
      <c r="ER18" s="487"/>
      <c r="ES18" s="487"/>
      <c r="ET18" s="487"/>
      <c r="EU18" s="487"/>
      <c r="EV18" s="487"/>
      <c r="EW18" s="487"/>
      <c r="EX18" s="487"/>
      <c r="EY18" s="487"/>
      <c r="EZ18" s="487"/>
      <c r="FA18" s="487"/>
      <c r="FB18" s="487"/>
      <c r="FC18" s="487"/>
      <c r="FD18" s="487"/>
      <c r="FE18" s="487"/>
      <c r="FF18" s="487"/>
      <c r="FG18" s="487"/>
      <c r="FH18" s="487"/>
      <c r="FI18" s="487"/>
      <c r="FJ18" s="487"/>
      <c r="FK18" s="487"/>
      <c r="FL18" s="487"/>
      <c r="FM18" s="487"/>
      <c r="FN18" s="487"/>
      <c r="FO18" s="487"/>
      <c r="FP18" s="487"/>
      <c r="FQ18" s="487"/>
      <c r="FR18" s="487"/>
      <c r="FS18" s="487"/>
      <c r="FT18" s="487"/>
      <c r="FU18" s="487"/>
      <c r="FV18" s="487"/>
      <c r="FW18" s="487"/>
      <c r="FX18" s="487"/>
      <c r="FY18" s="487"/>
      <c r="FZ18" s="487"/>
      <c r="GA18" s="487"/>
      <c r="GB18" s="487"/>
      <c r="GC18" s="487"/>
      <c r="GD18" s="487"/>
      <c r="GE18" s="487"/>
      <c r="GF18" s="487"/>
      <c r="GG18" s="487"/>
      <c r="GH18" s="487"/>
      <c r="GI18" s="487"/>
      <c r="GJ18" s="487"/>
      <c r="GK18" s="487"/>
      <c r="GL18" s="487"/>
      <c r="GM18" s="487"/>
      <c r="GN18" s="487"/>
      <c r="GO18" s="487"/>
      <c r="GP18" s="487"/>
      <c r="GQ18" s="487"/>
      <c r="GR18" s="487"/>
      <c r="GS18" s="487"/>
      <c r="GT18" s="487"/>
      <c r="GU18" s="487"/>
      <c r="GV18" s="487"/>
      <c r="GW18" s="487"/>
      <c r="GX18" s="487"/>
      <c r="GY18" s="487"/>
      <c r="GZ18" s="487"/>
      <c r="HA18" s="487"/>
      <c r="HB18" s="487"/>
      <c r="HC18" s="487"/>
      <c r="HD18" s="487"/>
      <c r="HE18" s="487"/>
      <c r="HF18" s="487"/>
      <c r="HG18" s="487"/>
      <c r="HH18" s="487"/>
      <c r="HI18" s="487"/>
      <c r="HJ18" s="487"/>
      <c r="HK18" s="487"/>
      <c r="HL18" s="487"/>
      <c r="HM18" s="487"/>
      <c r="HN18" s="487"/>
      <c r="HO18" s="487"/>
      <c r="HP18" s="487"/>
      <c r="HQ18" s="487"/>
      <c r="HR18" s="487"/>
      <c r="HS18" s="487"/>
      <c r="HT18" s="487"/>
      <c r="HU18" s="487"/>
      <c r="HV18" s="487"/>
      <c r="HW18" s="487"/>
      <c r="HX18" s="487"/>
      <c r="HY18" s="487"/>
      <c r="HZ18" s="487"/>
      <c r="IA18" s="487"/>
      <c r="IB18" s="487"/>
      <c r="IC18" s="487"/>
      <c r="ID18" s="487"/>
      <c r="IE18" s="487"/>
      <c r="IF18" s="487"/>
      <c r="IG18" s="487"/>
      <c r="IH18" s="487"/>
      <c r="II18" s="487"/>
      <c r="IJ18" s="487"/>
      <c r="IK18" s="487"/>
      <c r="IL18" s="487"/>
      <c r="IM18" s="487"/>
      <c r="IN18" s="487"/>
      <c r="IO18" s="487"/>
      <c r="IP18" s="487"/>
      <c r="IQ18" s="487"/>
      <c r="IR18" s="487"/>
      <c r="IS18" s="487"/>
      <c r="IT18" s="487"/>
    </row>
    <row r="19" s="423" customFormat="1" ht="20.1" customHeight="1" spans="1:254">
      <c r="A19" s="491" t="s">
        <v>18</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c r="IN19" s="487"/>
      <c r="IO19" s="487"/>
      <c r="IP19" s="487"/>
      <c r="IQ19" s="487"/>
      <c r="IR19" s="487"/>
      <c r="IS19" s="487"/>
      <c r="IT19" s="487"/>
    </row>
    <row r="20" s="423" customFormat="1" ht="30" customHeight="1" spans="1:254">
      <c r="A20" s="491" t="s">
        <v>19</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c r="CA20" s="487"/>
      <c r="CB20" s="487"/>
      <c r="CC20" s="487"/>
      <c r="CD20" s="487"/>
      <c r="CE20" s="487"/>
      <c r="CF20" s="487"/>
      <c r="CG20" s="487"/>
      <c r="CH20" s="487"/>
      <c r="CI20" s="487"/>
      <c r="CJ20" s="487"/>
      <c r="CK20" s="487"/>
      <c r="CL20" s="487"/>
      <c r="CM20" s="487"/>
      <c r="CN20" s="487"/>
      <c r="CO20" s="487"/>
      <c r="CP20" s="487"/>
      <c r="CQ20" s="487"/>
      <c r="CR20" s="487"/>
      <c r="CS20" s="487"/>
      <c r="CT20" s="487"/>
      <c r="CU20" s="487"/>
      <c r="CV20" s="487"/>
      <c r="CW20" s="487"/>
      <c r="CX20" s="487"/>
      <c r="CY20" s="487"/>
      <c r="CZ20" s="487"/>
      <c r="DA20" s="487"/>
      <c r="DB20" s="487"/>
      <c r="DC20" s="487"/>
      <c r="DD20" s="487"/>
      <c r="DE20" s="487"/>
      <c r="DF20" s="487"/>
      <c r="DG20" s="487"/>
      <c r="DH20" s="487"/>
      <c r="DI20" s="487"/>
      <c r="DJ20" s="487"/>
      <c r="DK20" s="487"/>
      <c r="DL20" s="487"/>
      <c r="DM20" s="487"/>
      <c r="DN20" s="487"/>
      <c r="DO20" s="487"/>
      <c r="DP20" s="487"/>
      <c r="DQ20" s="487"/>
      <c r="DR20" s="487"/>
      <c r="DS20" s="487"/>
      <c r="DT20" s="487"/>
      <c r="DU20" s="487"/>
      <c r="DV20" s="487"/>
      <c r="DW20" s="487"/>
      <c r="DX20" s="487"/>
      <c r="DY20" s="487"/>
      <c r="DZ20" s="487"/>
      <c r="EA20" s="487"/>
      <c r="EB20" s="487"/>
      <c r="EC20" s="487"/>
      <c r="ED20" s="487"/>
      <c r="EE20" s="487"/>
      <c r="EF20" s="487"/>
      <c r="EG20" s="487"/>
      <c r="EH20" s="487"/>
      <c r="EI20" s="487"/>
      <c r="EJ20" s="487"/>
      <c r="EK20" s="487"/>
      <c r="EL20" s="487"/>
      <c r="EM20" s="487"/>
      <c r="EN20" s="487"/>
      <c r="EO20" s="487"/>
      <c r="EP20" s="487"/>
      <c r="EQ20" s="487"/>
      <c r="ER20" s="487"/>
      <c r="ES20" s="487"/>
      <c r="ET20" s="487"/>
      <c r="EU20" s="487"/>
      <c r="EV20" s="487"/>
      <c r="EW20" s="487"/>
      <c r="EX20" s="487"/>
      <c r="EY20" s="487"/>
      <c r="EZ20" s="487"/>
      <c r="FA20" s="487"/>
      <c r="FB20" s="487"/>
      <c r="FC20" s="487"/>
      <c r="FD20" s="487"/>
      <c r="FE20" s="487"/>
      <c r="FF20" s="487"/>
      <c r="FG20" s="487"/>
      <c r="FH20" s="487"/>
      <c r="FI20" s="487"/>
      <c r="FJ20" s="487"/>
      <c r="FK20" s="487"/>
      <c r="FL20" s="487"/>
      <c r="FM20" s="487"/>
      <c r="FN20" s="487"/>
      <c r="FO20" s="487"/>
      <c r="FP20" s="487"/>
      <c r="FQ20" s="487"/>
      <c r="FR20" s="487"/>
      <c r="FS20" s="487"/>
      <c r="FT20" s="487"/>
      <c r="FU20" s="487"/>
      <c r="FV20" s="487"/>
      <c r="FW20" s="487"/>
      <c r="FX20" s="487"/>
      <c r="FY20" s="487"/>
      <c r="FZ20" s="487"/>
      <c r="GA20" s="487"/>
      <c r="GB20" s="487"/>
      <c r="GC20" s="487"/>
      <c r="GD20" s="487"/>
      <c r="GE20" s="487"/>
      <c r="GF20" s="487"/>
      <c r="GG20" s="487"/>
      <c r="GH20" s="487"/>
      <c r="GI20" s="487"/>
      <c r="GJ20" s="487"/>
      <c r="GK20" s="487"/>
      <c r="GL20" s="487"/>
      <c r="GM20" s="487"/>
      <c r="GN20" s="487"/>
      <c r="GO20" s="487"/>
      <c r="GP20" s="487"/>
      <c r="GQ20" s="487"/>
      <c r="GR20" s="487"/>
      <c r="GS20" s="487"/>
      <c r="GT20" s="487"/>
      <c r="GU20" s="487"/>
      <c r="GV20" s="487"/>
      <c r="GW20" s="487"/>
      <c r="GX20" s="487"/>
      <c r="GY20" s="487"/>
      <c r="GZ20" s="487"/>
      <c r="HA20" s="487"/>
      <c r="HB20" s="487"/>
      <c r="HC20" s="487"/>
      <c r="HD20" s="487"/>
      <c r="HE20" s="487"/>
      <c r="HF20" s="487"/>
      <c r="HG20" s="487"/>
      <c r="HH20" s="487"/>
      <c r="HI20" s="487"/>
      <c r="HJ20" s="487"/>
      <c r="HK20" s="487"/>
      <c r="HL20" s="487"/>
      <c r="HM20" s="487"/>
      <c r="HN20" s="487"/>
      <c r="HO20" s="487"/>
      <c r="HP20" s="487"/>
      <c r="HQ20" s="487"/>
      <c r="HR20" s="487"/>
      <c r="HS20" s="487"/>
      <c r="HT20" s="487"/>
      <c r="HU20" s="487"/>
      <c r="HV20" s="487"/>
      <c r="HW20" s="487"/>
      <c r="HX20" s="487"/>
      <c r="HY20" s="487"/>
      <c r="HZ20" s="487"/>
      <c r="IA20" s="487"/>
      <c r="IB20" s="487"/>
      <c r="IC20" s="487"/>
      <c r="ID20" s="487"/>
      <c r="IE20" s="487"/>
      <c r="IF20" s="487"/>
      <c r="IG20" s="487"/>
      <c r="IH20" s="487"/>
      <c r="II20" s="487"/>
      <c r="IJ20" s="487"/>
      <c r="IK20" s="487"/>
      <c r="IL20" s="487"/>
      <c r="IM20" s="487"/>
      <c r="IN20" s="487"/>
      <c r="IO20" s="487"/>
      <c r="IP20" s="487"/>
      <c r="IQ20" s="487"/>
      <c r="IR20" s="487"/>
      <c r="IS20" s="487"/>
      <c r="IT20" s="487"/>
    </row>
    <row r="21" s="423" customFormat="1" ht="20.1" customHeight="1" spans="1:254">
      <c r="A21" s="490" t="s">
        <v>20</v>
      </c>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c r="CA21" s="487"/>
      <c r="CB21" s="487"/>
      <c r="CC21" s="487"/>
      <c r="CD21" s="487"/>
      <c r="CE21" s="487"/>
      <c r="CF21" s="487"/>
      <c r="CG21" s="487"/>
      <c r="CH21" s="487"/>
      <c r="CI21" s="487"/>
      <c r="CJ21" s="487"/>
      <c r="CK21" s="487"/>
      <c r="CL21" s="487"/>
      <c r="CM21" s="487"/>
      <c r="CN21" s="487"/>
      <c r="CO21" s="487"/>
      <c r="CP21" s="487"/>
      <c r="CQ21" s="487"/>
      <c r="CR21" s="487"/>
      <c r="CS21" s="487"/>
      <c r="CT21" s="487"/>
      <c r="CU21" s="487"/>
      <c r="CV21" s="487"/>
      <c r="CW21" s="487"/>
      <c r="CX21" s="487"/>
      <c r="CY21" s="487"/>
      <c r="CZ21" s="487"/>
      <c r="DA21" s="487"/>
      <c r="DB21" s="487"/>
      <c r="DC21" s="487"/>
      <c r="DD21" s="487"/>
      <c r="DE21" s="487"/>
      <c r="DF21" s="487"/>
      <c r="DG21" s="487"/>
      <c r="DH21" s="487"/>
      <c r="DI21" s="487"/>
      <c r="DJ21" s="487"/>
      <c r="DK21" s="487"/>
      <c r="DL21" s="487"/>
      <c r="DM21" s="487"/>
      <c r="DN21" s="487"/>
      <c r="DO21" s="487"/>
      <c r="DP21" s="487"/>
      <c r="DQ21" s="487"/>
      <c r="DR21" s="487"/>
      <c r="DS21" s="487"/>
      <c r="DT21" s="487"/>
      <c r="DU21" s="487"/>
      <c r="DV21" s="487"/>
      <c r="DW21" s="487"/>
      <c r="DX21" s="487"/>
      <c r="DY21" s="487"/>
      <c r="DZ21" s="487"/>
      <c r="EA21" s="487"/>
      <c r="EB21" s="487"/>
      <c r="EC21" s="487"/>
      <c r="ED21" s="487"/>
      <c r="EE21" s="487"/>
      <c r="EF21" s="487"/>
      <c r="EG21" s="487"/>
      <c r="EH21" s="487"/>
      <c r="EI21" s="487"/>
      <c r="EJ21" s="487"/>
      <c r="EK21" s="487"/>
      <c r="EL21" s="487"/>
      <c r="EM21" s="487"/>
      <c r="EN21" s="487"/>
      <c r="EO21" s="487"/>
      <c r="EP21" s="487"/>
      <c r="EQ21" s="487"/>
      <c r="ER21" s="487"/>
      <c r="ES21" s="487"/>
      <c r="ET21" s="487"/>
      <c r="EU21" s="487"/>
      <c r="EV21" s="487"/>
      <c r="EW21" s="487"/>
      <c r="EX21" s="487"/>
      <c r="EY21" s="487"/>
      <c r="EZ21" s="487"/>
      <c r="FA21" s="487"/>
      <c r="FB21" s="487"/>
      <c r="FC21" s="487"/>
      <c r="FD21" s="487"/>
      <c r="FE21" s="487"/>
      <c r="FF21" s="487"/>
      <c r="FG21" s="487"/>
      <c r="FH21" s="487"/>
      <c r="FI21" s="487"/>
      <c r="FJ21" s="487"/>
      <c r="FK21" s="487"/>
      <c r="FL21" s="487"/>
      <c r="FM21" s="487"/>
      <c r="FN21" s="487"/>
      <c r="FO21" s="487"/>
      <c r="FP21" s="487"/>
      <c r="FQ21" s="487"/>
      <c r="FR21" s="487"/>
      <c r="FS21" s="487"/>
      <c r="FT21" s="487"/>
      <c r="FU21" s="487"/>
      <c r="FV21" s="487"/>
      <c r="FW21" s="487"/>
      <c r="FX21" s="487"/>
      <c r="FY21" s="487"/>
      <c r="FZ21" s="487"/>
      <c r="GA21" s="487"/>
      <c r="GB21" s="487"/>
      <c r="GC21" s="487"/>
      <c r="GD21" s="487"/>
      <c r="GE21" s="487"/>
      <c r="GF21" s="487"/>
      <c r="GG21" s="487"/>
      <c r="GH21" s="487"/>
      <c r="GI21" s="487"/>
      <c r="GJ21" s="487"/>
      <c r="GK21" s="487"/>
      <c r="GL21" s="487"/>
      <c r="GM21" s="487"/>
      <c r="GN21" s="487"/>
      <c r="GO21" s="487"/>
      <c r="GP21" s="487"/>
      <c r="GQ21" s="487"/>
      <c r="GR21" s="487"/>
      <c r="GS21" s="487"/>
      <c r="GT21" s="487"/>
      <c r="GU21" s="487"/>
      <c r="GV21" s="487"/>
      <c r="GW21" s="487"/>
      <c r="GX21" s="487"/>
      <c r="GY21" s="487"/>
      <c r="GZ21" s="487"/>
      <c r="HA21" s="487"/>
      <c r="HB21" s="487"/>
      <c r="HC21" s="487"/>
      <c r="HD21" s="487"/>
      <c r="HE21" s="487"/>
      <c r="HF21" s="487"/>
      <c r="HG21" s="487"/>
      <c r="HH21" s="487"/>
      <c r="HI21" s="487"/>
      <c r="HJ21" s="487"/>
      <c r="HK21" s="487"/>
      <c r="HL21" s="487"/>
      <c r="HM21" s="487"/>
      <c r="HN21" s="487"/>
      <c r="HO21" s="487"/>
      <c r="HP21" s="487"/>
      <c r="HQ21" s="487"/>
      <c r="HR21" s="487"/>
      <c r="HS21" s="487"/>
      <c r="HT21" s="487"/>
      <c r="HU21" s="487"/>
      <c r="HV21" s="487"/>
      <c r="HW21" s="487"/>
      <c r="HX21" s="487"/>
      <c r="HY21" s="487"/>
      <c r="HZ21" s="487"/>
      <c r="IA21" s="487"/>
      <c r="IB21" s="487"/>
      <c r="IC21" s="487"/>
      <c r="ID21" s="487"/>
      <c r="IE21" s="487"/>
      <c r="IF21" s="487"/>
      <c r="IG21" s="487"/>
      <c r="IH21" s="487"/>
      <c r="II21" s="487"/>
      <c r="IJ21" s="487"/>
      <c r="IK21" s="487"/>
      <c r="IL21" s="487"/>
      <c r="IM21" s="487"/>
      <c r="IN21" s="487"/>
      <c r="IO21" s="487"/>
      <c r="IP21" s="487"/>
      <c r="IQ21" s="487"/>
      <c r="IR21" s="487"/>
      <c r="IS21" s="487"/>
      <c r="IT21" s="487"/>
    </row>
    <row r="22" s="423" customFormat="1" ht="30" customHeight="1" spans="1:254">
      <c r="A22" s="490" t="s">
        <v>21</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7"/>
      <c r="CO22" s="487"/>
      <c r="CP22" s="487"/>
      <c r="CQ22" s="487"/>
      <c r="CR22" s="487"/>
      <c r="CS22" s="487"/>
      <c r="CT22" s="487"/>
      <c r="CU22" s="487"/>
      <c r="CV22" s="487"/>
      <c r="CW22" s="487"/>
      <c r="CX22" s="487"/>
      <c r="CY22" s="487"/>
      <c r="CZ22" s="487"/>
      <c r="DA22" s="487"/>
      <c r="DB22" s="487"/>
      <c r="DC22" s="487"/>
      <c r="DD22" s="487"/>
      <c r="DE22" s="487"/>
      <c r="DF22" s="487"/>
      <c r="DG22" s="487"/>
      <c r="DH22" s="487"/>
      <c r="DI22" s="487"/>
      <c r="DJ22" s="487"/>
      <c r="DK22" s="487"/>
      <c r="DL22" s="487"/>
      <c r="DM22" s="487"/>
      <c r="DN22" s="487"/>
      <c r="DO22" s="487"/>
      <c r="DP22" s="487"/>
      <c r="DQ22" s="487"/>
      <c r="DR22" s="487"/>
      <c r="DS22" s="487"/>
      <c r="DT22" s="487"/>
      <c r="DU22" s="487"/>
      <c r="DV22" s="487"/>
      <c r="DW22" s="487"/>
      <c r="DX22" s="487"/>
      <c r="DY22" s="487"/>
      <c r="DZ22" s="487"/>
      <c r="EA22" s="487"/>
      <c r="EB22" s="487"/>
      <c r="EC22" s="487"/>
      <c r="ED22" s="487"/>
      <c r="EE22" s="487"/>
      <c r="EF22" s="487"/>
      <c r="EG22" s="487"/>
      <c r="EH22" s="487"/>
      <c r="EI22" s="487"/>
      <c r="EJ22" s="487"/>
      <c r="EK22" s="487"/>
      <c r="EL22" s="487"/>
      <c r="EM22" s="487"/>
      <c r="EN22" s="487"/>
      <c r="EO22" s="487"/>
      <c r="EP22" s="487"/>
      <c r="EQ22" s="487"/>
      <c r="ER22" s="487"/>
      <c r="ES22" s="487"/>
      <c r="ET22" s="487"/>
      <c r="EU22" s="487"/>
      <c r="EV22" s="487"/>
      <c r="EW22" s="487"/>
      <c r="EX22" s="487"/>
      <c r="EY22" s="487"/>
      <c r="EZ22" s="487"/>
      <c r="FA22" s="487"/>
      <c r="FB22" s="487"/>
      <c r="FC22" s="487"/>
      <c r="FD22" s="487"/>
      <c r="FE22" s="487"/>
      <c r="FF22" s="487"/>
      <c r="FG22" s="487"/>
      <c r="FH22" s="487"/>
      <c r="FI22" s="487"/>
      <c r="FJ22" s="487"/>
      <c r="FK22" s="487"/>
      <c r="FL22" s="487"/>
      <c r="FM22" s="487"/>
      <c r="FN22" s="487"/>
      <c r="FO22" s="487"/>
      <c r="FP22" s="487"/>
      <c r="FQ22" s="487"/>
      <c r="FR22" s="487"/>
      <c r="FS22" s="487"/>
      <c r="FT22" s="487"/>
      <c r="FU22" s="487"/>
      <c r="FV22" s="487"/>
      <c r="FW22" s="487"/>
      <c r="FX22" s="487"/>
      <c r="FY22" s="487"/>
      <c r="FZ22" s="487"/>
      <c r="GA22" s="487"/>
      <c r="GB22" s="487"/>
      <c r="GC22" s="487"/>
      <c r="GD22" s="487"/>
      <c r="GE22" s="487"/>
      <c r="GF22" s="487"/>
      <c r="GG22" s="487"/>
      <c r="GH22" s="487"/>
      <c r="GI22" s="487"/>
      <c r="GJ22" s="487"/>
      <c r="GK22" s="487"/>
      <c r="GL22" s="487"/>
      <c r="GM22" s="487"/>
      <c r="GN22" s="487"/>
      <c r="GO22" s="487"/>
      <c r="GP22" s="487"/>
      <c r="GQ22" s="487"/>
      <c r="GR22" s="487"/>
      <c r="GS22" s="487"/>
      <c r="GT22" s="487"/>
      <c r="GU22" s="487"/>
      <c r="GV22" s="487"/>
      <c r="GW22" s="487"/>
      <c r="GX22" s="487"/>
      <c r="GY22" s="487"/>
      <c r="GZ22" s="487"/>
      <c r="HA22" s="487"/>
      <c r="HB22" s="487"/>
      <c r="HC22" s="487"/>
      <c r="HD22" s="487"/>
      <c r="HE22" s="487"/>
      <c r="HF22" s="487"/>
      <c r="HG22" s="487"/>
      <c r="HH22" s="487"/>
      <c r="HI22" s="487"/>
      <c r="HJ22" s="487"/>
      <c r="HK22" s="487"/>
      <c r="HL22" s="487"/>
      <c r="HM22" s="487"/>
      <c r="HN22" s="487"/>
      <c r="HO22" s="487"/>
      <c r="HP22" s="487"/>
      <c r="HQ22" s="487"/>
      <c r="HR22" s="487"/>
      <c r="HS22" s="487"/>
      <c r="HT22" s="487"/>
      <c r="HU22" s="487"/>
      <c r="HV22" s="487"/>
      <c r="HW22" s="487"/>
      <c r="HX22" s="487"/>
      <c r="HY22" s="487"/>
      <c r="HZ22" s="487"/>
      <c r="IA22" s="487"/>
      <c r="IB22" s="487"/>
      <c r="IC22" s="487"/>
      <c r="ID22" s="487"/>
      <c r="IE22" s="487"/>
      <c r="IF22" s="487"/>
      <c r="IG22" s="487"/>
      <c r="IH22" s="487"/>
      <c r="II22" s="487"/>
      <c r="IJ22" s="487"/>
      <c r="IK22" s="487"/>
      <c r="IL22" s="487"/>
      <c r="IM22" s="487"/>
      <c r="IN22" s="487"/>
      <c r="IO22" s="487"/>
      <c r="IP22" s="487"/>
      <c r="IQ22" s="487"/>
      <c r="IR22" s="487"/>
      <c r="IS22" s="487"/>
      <c r="IT22" s="487"/>
    </row>
    <row r="23" s="423" customFormat="1" ht="20.1" customHeight="1" spans="1:254">
      <c r="A23" s="491" t="s">
        <v>22</v>
      </c>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487"/>
      <c r="BV23" s="487"/>
      <c r="BW23" s="487"/>
      <c r="BX23" s="487"/>
      <c r="BY23" s="487"/>
      <c r="BZ23" s="487"/>
      <c r="CA23" s="487"/>
      <c r="CB23" s="487"/>
      <c r="CC23" s="487"/>
      <c r="CD23" s="487"/>
      <c r="CE23" s="487"/>
      <c r="CF23" s="487"/>
      <c r="CG23" s="487"/>
      <c r="CH23" s="487"/>
      <c r="CI23" s="487"/>
      <c r="CJ23" s="487"/>
      <c r="CK23" s="487"/>
      <c r="CL23" s="487"/>
      <c r="CM23" s="487"/>
      <c r="CN23" s="487"/>
      <c r="CO23" s="487"/>
      <c r="CP23" s="487"/>
      <c r="CQ23" s="487"/>
      <c r="CR23" s="487"/>
      <c r="CS23" s="487"/>
      <c r="CT23" s="487"/>
      <c r="CU23" s="487"/>
      <c r="CV23" s="487"/>
      <c r="CW23" s="487"/>
      <c r="CX23" s="487"/>
      <c r="CY23" s="487"/>
      <c r="CZ23" s="487"/>
      <c r="DA23" s="487"/>
      <c r="DB23" s="487"/>
      <c r="DC23" s="487"/>
      <c r="DD23" s="487"/>
      <c r="DE23" s="487"/>
      <c r="DF23" s="487"/>
      <c r="DG23" s="487"/>
      <c r="DH23" s="487"/>
      <c r="DI23" s="487"/>
      <c r="DJ23" s="487"/>
      <c r="DK23" s="487"/>
      <c r="DL23" s="487"/>
      <c r="DM23" s="487"/>
      <c r="DN23" s="487"/>
      <c r="DO23" s="487"/>
      <c r="DP23" s="487"/>
      <c r="DQ23" s="487"/>
      <c r="DR23" s="487"/>
      <c r="DS23" s="487"/>
      <c r="DT23" s="487"/>
      <c r="DU23" s="487"/>
      <c r="DV23" s="487"/>
      <c r="DW23" s="487"/>
      <c r="DX23" s="487"/>
      <c r="DY23" s="487"/>
      <c r="DZ23" s="487"/>
      <c r="EA23" s="487"/>
      <c r="EB23" s="487"/>
      <c r="EC23" s="487"/>
      <c r="ED23" s="487"/>
      <c r="EE23" s="487"/>
      <c r="EF23" s="487"/>
      <c r="EG23" s="487"/>
      <c r="EH23" s="487"/>
      <c r="EI23" s="487"/>
      <c r="EJ23" s="487"/>
      <c r="EK23" s="487"/>
      <c r="EL23" s="487"/>
      <c r="EM23" s="487"/>
      <c r="EN23" s="487"/>
      <c r="EO23" s="487"/>
      <c r="EP23" s="487"/>
      <c r="EQ23" s="487"/>
      <c r="ER23" s="487"/>
      <c r="ES23" s="487"/>
      <c r="ET23" s="487"/>
      <c r="EU23" s="487"/>
      <c r="EV23" s="487"/>
      <c r="EW23" s="487"/>
      <c r="EX23" s="487"/>
      <c r="EY23" s="487"/>
      <c r="EZ23" s="487"/>
      <c r="FA23" s="487"/>
      <c r="FB23" s="487"/>
      <c r="FC23" s="487"/>
      <c r="FD23" s="487"/>
      <c r="FE23" s="487"/>
      <c r="FF23" s="487"/>
      <c r="FG23" s="487"/>
      <c r="FH23" s="487"/>
      <c r="FI23" s="487"/>
      <c r="FJ23" s="487"/>
      <c r="FK23" s="487"/>
      <c r="FL23" s="487"/>
      <c r="FM23" s="487"/>
      <c r="FN23" s="487"/>
      <c r="FO23" s="487"/>
      <c r="FP23" s="487"/>
      <c r="FQ23" s="487"/>
      <c r="FR23" s="487"/>
      <c r="FS23" s="487"/>
      <c r="FT23" s="487"/>
      <c r="FU23" s="487"/>
      <c r="FV23" s="487"/>
      <c r="FW23" s="487"/>
      <c r="FX23" s="487"/>
      <c r="FY23" s="487"/>
      <c r="FZ23" s="487"/>
      <c r="GA23" s="487"/>
      <c r="GB23" s="487"/>
      <c r="GC23" s="487"/>
      <c r="GD23" s="487"/>
      <c r="GE23" s="487"/>
      <c r="GF23" s="487"/>
      <c r="GG23" s="487"/>
      <c r="GH23" s="487"/>
      <c r="GI23" s="487"/>
      <c r="GJ23" s="487"/>
      <c r="GK23" s="487"/>
      <c r="GL23" s="487"/>
      <c r="GM23" s="487"/>
      <c r="GN23" s="487"/>
      <c r="GO23" s="487"/>
      <c r="GP23" s="487"/>
      <c r="GQ23" s="487"/>
      <c r="GR23" s="487"/>
      <c r="GS23" s="487"/>
      <c r="GT23" s="487"/>
      <c r="GU23" s="487"/>
      <c r="GV23" s="487"/>
      <c r="GW23" s="487"/>
      <c r="GX23" s="487"/>
      <c r="GY23" s="487"/>
      <c r="GZ23" s="487"/>
      <c r="HA23" s="487"/>
      <c r="HB23" s="487"/>
      <c r="HC23" s="487"/>
      <c r="HD23" s="487"/>
      <c r="HE23" s="487"/>
      <c r="HF23" s="487"/>
      <c r="HG23" s="487"/>
      <c r="HH23" s="487"/>
      <c r="HI23" s="487"/>
      <c r="HJ23" s="487"/>
      <c r="HK23" s="487"/>
      <c r="HL23" s="487"/>
      <c r="HM23" s="487"/>
      <c r="HN23" s="487"/>
      <c r="HO23" s="487"/>
      <c r="HP23" s="487"/>
      <c r="HQ23" s="487"/>
      <c r="HR23" s="487"/>
      <c r="HS23" s="487"/>
      <c r="HT23" s="487"/>
      <c r="HU23" s="487"/>
      <c r="HV23" s="487"/>
      <c r="HW23" s="487"/>
      <c r="HX23" s="487"/>
      <c r="HY23" s="487"/>
      <c r="HZ23" s="487"/>
      <c r="IA23" s="487"/>
      <c r="IB23" s="487"/>
      <c r="IC23" s="487"/>
      <c r="ID23" s="487"/>
      <c r="IE23" s="487"/>
      <c r="IF23" s="487"/>
      <c r="IG23" s="487"/>
      <c r="IH23" s="487"/>
      <c r="II23" s="487"/>
      <c r="IJ23" s="487"/>
      <c r="IK23" s="487"/>
      <c r="IL23" s="487"/>
      <c r="IM23" s="487"/>
      <c r="IN23" s="487"/>
      <c r="IO23" s="487"/>
      <c r="IP23" s="487"/>
      <c r="IQ23" s="487"/>
      <c r="IR23" s="487"/>
      <c r="IS23" s="487"/>
      <c r="IT23" s="487"/>
    </row>
    <row r="24" s="423" customFormat="1" ht="20.25" customHeight="1" spans="1:254">
      <c r="A24" s="490" t="s">
        <v>23</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c r="CC24" s="487"/>
      <c r="CD24" s="487"/>
      <c r="CE24" s="487"/>
      <c r="CF24" s="487"/>
      <c r="CG24" s="487"/>
      <c r="CH24" s="487"/>
      <c r="CI24" s="487"/>
      <c r="CJ24" s="487"/>
      <c r="CK24" s="487"/>
      <c r="CL24" s="487"/>
      <c r="CM24" s="487"/>
      <c r="CN24" s="487"/>
      <c r="CO24" s="487"/>
      <c r="CP24" s="487"/>
      <c r="CQ24" s="487"/>
      <c r="CR24" s="487"/>
      <c r="CS24" s="487"/>
      <c r="CT24" s="487"/>
      <c r="CU24" s="487"/>
      <c r="CV24" s="487"/>
      <c r="CW24" s="487"/>
      <c r="CX24" s="487"/>
      <c r="CY24" s="487"/>
      <c r="CZ24" s="487"/>
      <c r="DA24" s="487"/>
      <c r="DB24" s="487"/>
      <c r="DC24" s="487"/>
      <c r="DD24" s="487"/>
      <c r="DE24" s="487"/>
      <c r="DF24" s="487"/>
      <c r="DG24" s="487"/>
      <c r="DH24" s="487"/>
      <c r="DI24" s="487"/>
      <c r="DJ24" s="487"/>
      <c r="DK24" s="487"/>
      <c r="DL24" s="487"/>
      <c r="DM24" s="487"/>
      <c r="DN24" s="487"/>
      <c r="DO24" s="487"/>
      <c r="DP24" s="487"/>
      <c r="DQ24" s="487"/>
      <c r="DR24" s="487"/>
      <c r="DS24" s="487"/>
      <c r="DT24" s="487"/>
      <c r="DU24" s="487"/>
      <c r="DV24" s="487"/>
      <c r="DW24" s="487"/>
      <c r="DX24" s="487"/>
      <c r="DY24" s="487"/>
      <c r="DZ24" s="487"/>
      <c r="EA24" s="487"/>
      <c r="EB24" s="487"/>
      <c r="EC24" s="487"/>
      <c r="ED24" s="487"/>
      <c r="EE24" s="487"/>
      <c r="EF24" s="487"/>
      <c r="EG24" s="487"/>
      <c r="EH24" s="487"/>
      <c r="EI24" s="487"/>
      <c r="EJ24" s="487"/>
      <c r="EK24" s="487"/>
      <c r="EL24" s="487"/>
      <c r="EM24" s="487"/>
      <c r="EN24" s="487"/>
      <c r="EO24" s="487"/>
      <c r="EP24" s="487"/>
      <c r="EQ24" s="487"/>
      <c r="ER24" s="487"/>
      <c r="ES24" s="487"/>
      <c r="ET24" s="487"/>
      <c r="EU24" s="487"/>
      <c r="EV24" s="487"/>
      <c r="EW24" s="487"/>
      <c r="EX24" s="487"/>
      <c r="EY24" s="487"/>
      <c r="EZ24" s="487"/>
      <c r="FA24" s="487"/>
      <c r="FB24" s="487"/>
      <c r="FC24" s="487"/>
      <c r="FD24" s="487"/>
      <c r="FE24" s="487"/>
      <c r="FF24" s="487"/>
      <c r="FG24" s="487"/>
      <c r="FH24" s="487"/>
      <c r="FI24" s="487"/>
      <c r="FJ24" s="487"/>
      <c r="FK24" s="487"/>
      <c r="FL24" s="487"/>
      <c r="FM24" s="487"/>
      <c r="FN24" s="487"/>
      <c r="FO24" s="487"/>
      <c r="FP24" s="487"/>
      <c r="FQ24" s="487"/>
      <c r="FR24" s="487"/>
      <c r="FS24" s="487"/>
      <c r="FT24" s="487"/>
      <c r="FU24" s="487"/>
      <c r="FV24" s="487"/>
      <c r="FW24" s="487"/>
      <c r="FX24" s="487"/>
      <c r="FY24" s="487"/>
      <c r="FZ24" s="487"/>
      <c r="GA24" s="487"/>
      <c r="GB24" s="487"/>
      <c r="GC24" s="487"/>
      <c r="GD24" s="487"/>
      <c r="GE24" s="487"/>
      <c r="GF24" s="487"/>
      <c r="GG24" s="487"/>
      <c r="GH24" s="487"/>
      <c r="GI24" s="487"/>
      <c r="GJ24" s="487"/>
      <c r="GK24" s="487"/>
      <c r="GL24" s="487"/>
      <c r="GM24" s="487"/>
      <c r="GN24" s="487"/>
      <c r="GO24" s="487"/>
      <c r="GP24" s="487"/>
      <c r="GQ24" s="487"/>
      <c r="GR24" s="487"/>
      <c r="GS24" s="487"/>
      <c r="GT24" s="487"/>
      <c r="GU24" s="487"/>
      <c r="GV24" s="487"/>
      <c r="GW24" s="487"/>
      <c r="GX24" s="487"/>
      <c r="GY24" s="487"/>
      <c r="GZ24" s="487"/>
      <c r="HA24" s="487"/>
      <c r="HB24" s="487"/>
      <c r="HC24" s="487"/>
      <c r="HD24" s="487"/>
      <c r="HE24" s="487"/>
      <c r="HF24" s="487"/>
      <c r="HG24" s="487"/>
      <c r="HH24" s="487"/>
      <c r="HI24" s="487"/>
      <c r="HJ24" s="487"/>
      <c r="HK24" s="487"/>
      <c r="HL24" s="487"/>
      <c r="HM24" s="487"/>
      <c r="HN24" s="487"/>
      <c r="HO24" s="487"/>
      <c r="HP24" s="487"/>
      <c r="HQ24" s="487"/>
      <c r="HR24" s="487"/>
      <c r="HS24" s="487"/>
      <c r="HT24" s="487"/>
      <c r="HU24" s="487"/>
      <c r="HV24" s="487"/>
      <c r="HW24" s="487"/>
      <c r="HX24" s="487"/>
      <c r="HY24" s="487"/>
      <c r="HZ24" s="487"/>
      <c r="IA24" s="487"/>
      <c r="IB24" s="487"/>
      <c r="IC24" s="487"/>
      <c r="ID24" s="487"/>
      <c r="IE24" s="487"/>
      <c r="IF24" s="487"/>
      <c r="IG24" s="487"/>
      <c r="IH24" s="487"/>
      <c r="II24" s="487"/>
      <c r="IJ24" s="487"/>
      <c r="IK24" s="487"/>
      <c r="IL24" s="487"/>
      <c r="IM24" s="487"/>
      <c r="IN24" s="487"/>
      <c r="IO24" s="487"/>
      <c r="IP24" s="487"/>
      <c r="IQ24" s="487"/>
      <c r="IR24" s="487"/>
      <c r="IS24" s="487"/>
      <c r="IT24" s="487"/>
    </row>
    <row r="25" s="423" customFormat="1" ht="31" customHeight="1" spans="1:254">
      <c r="A25" s="490" t="s">
        <v>24</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c r="CA25" s="487"/>
      <c r="CB25" s="487"/>
      <c r="CC25" s="487"/>
      <c r="CD25" s="487"/>
      <c r="CE25" s="487"/>
      <c r="CF25" s="487"/>
      <c r="CG25" s="487"/>
      <c r="CH25" s="487"/>
      <c r="CI25" s="487"/>
      <c r="CJ25" s="487"/>
      <c r="CK25" s="487"/>
      <c r="CL25" s="487"/>
      <c r="CM25" s="487"/>
      <c r="CN25" s="487"/>
      <c r="CO25" s="487"/>
      <c r="CP25" s="487"/>
      <c r="CQ25" s="487"/>
      <c r="CR25" s="487"/>
      <c r="CS25" s="487"/>
      <c r="CT25" s="487"/>
      <c r="CU25" s="487"/>
      <c r="CV25" s="487"/>
      <c r="CW25" s="487"/>
      <c r="CX25" s="487"/>
      <c r="CY25" s="487"/>
      <c r="CZ25" s="487"/>
      <c r="DA25" s="487"/>
      <c r="DB25" s="487"/>
      <c r="DC25" s="487"/>
      <c r="DD25" s="487"/>
      <c r="DE25" s="487"/>
      <c r="DF25" s="487"/>
      <c r="DG25" s="487"/>
      <c r="DH25" s="487"/>
      <c r="DI25" s="487"/>
      <c r="DJ25" s="487"/>
      <c r="DK25" s="487"/>
      <c r="DL25" s="487"/>
      <c r="DM25" s="487"/>
      <c r="DN25" s="487"/>
      <c r="DO25" s="487"/>
      <c r="DP25" s="487"/>
      <c r="DQ25" s="487"/>
      <c r="DR25" s="487"/>
      <c r="DS25" s="487"/>
      <c r="DT25" s="487"/>
      <c r="DU25" s="487"/>
      <c r="DV25" s="487"/>
      <c r="DW25" s="487"/>
      <c r="DX25" s="487"/>
      <c r="DY25" s="487"/>
      <c r="DZ25" s="487"/>
      <c r="EA25" s="487"/>
      <c r="EB25" s="487"/>
      <c r="EC25" s="487"/>
      <c r="ED25" s="487"/>
      <c r="EE25" s="487"/>
      <c r="EF25" s="487"/>
      <c r="EG25" s="487"/>
      <c r="EH25" s="487"/>
      <c r="EI25" s="487"/>
      <c r="EJ25" s="487"/>
      <c r="EK25" s="487"/>
      <c r="EL25" s="487"/>
      <c r="EM25" s="487"/>
      <c r="EN25" s="487"/>
      <c r="EO25" s="487"/>
      <c r="EP25" s="487"/>
      <c r="EQ25" s="487"/>
      <c r="ER25" s="487"/>
      <c r="ES25" s="487"/>
      <c r="ET25" s="487"/>
      <c r="EU25" s="487"/>
      <c r="EV25" s="487"/>
      <c r="EW25" s="487"/>
      <c r="EX25" s="487"/>
      <c r="EY25" s="487"/>
      <c r="EZ25" s="487"/>
      <c r="FA25" s="487"/>
      <c r="FB25" s="487"/>
      <c r="FC25" s="487"/>
      <c r="FD25" s="487"/>
      <c r="FE25" s="487"/>
      <c r="FF25" s="487"/>
      <c r="FG25" s="487"/>
      <c r="FH25" s="487"/>
      <c r="FI25" s="487"/>
      <c r="FJ25" s="487"/>
      <c r="FK25" s="487"/>
      <c r="FL25" s="487"/>
      <c r="FM25" s="487"/>
      <c r="FN25" s="487"/>
      <c r="FO25" s="487"/>
      <c r="FP25" s="487"/>
      <c r="FQ25" s="487"/>
      <c r="FR25" s="487"/>
      <c r="FS25" s="487"/>
      <c r="FT25" s="487"/>
      <c r="FU25" s="487"/>
      <c r="FV25" s="487"/>
      <c r="FW25" s="487"/>
      <c r="FX25" s="487"/>
      <c r="FY25" s="487"/>
      <c r="FZ25" s="487"/>
      <c r="GA25" s="487"/>
      <c r="GB25" s="487"/>
      <c r="GC25" s="487"/>
      <c r="GD25" s="487"/>
      <c r="GE25" s="487"/>
      <c r="GF25" s="487"/>
      <c r="GG25" s="487"/>
      <c r="GH25" s="487"/>
      <c r="GI25" s="487"/>
      <c r="GJ25" s="487"/>
      <c r="GK25" s="487"/>
      <c r="GL25" s="487"/>
      <c r="GM25" s="487"/>
      <c r="GN25" s="487"/>
      <c r="GO25" s="487"/>
      <c r="GP25" s="487"/>
      <c r="GQ25" s="487"/>
      <c r="GR25" s="487"/>
      <c r="GS25" s="487"/>
      <c r="GT25" s="487"/>
      <c r="GU25" s="487"/>
      <c r="GV25" s="487"/>
      <c r="GW25" s="487"/>
      <c r="GX25" s="487"/>
      <c r="GY25" s="487"/>
      <c r="GZ25" s="487"/>
      <c r="HA25" s="487"/>
      <c r="HB25" s="487"/>
      <c r="HC25" s="487"/>
      <c r="HD25" s="487"/>
      <c r="HE25" s="487"/>
      <c r="HF25" s="487"/>
      <c r="HG25" s="487"/>
      <c r="HH25" s="487"/>
      <c r="HI25" s="487"/>
      <c r="HJ25" s="487"/>
      <c r="HK25" s="487"/>
      <c r="HL25" s="487"/>
      <c r="HM25" s="487"/>
      <c r="HN25" s="487"/>
      <c r="HO25" s="487"/>
      <c r="HP25" s="487"/>
      <c r="HQ25" s="487"/>
      <c r="HR25" s="487"/>
      <c r="HS25" s="487"/>
      <c r="HT25" s="487"/>
      <c r="HU25" s="487"/>
      <c r="HV25" s="487"/>
      <c r="HW25" s="487"/>
      <c r="HX25" s="487"/>
      <c r="HY25" s="487"/>
      <c r="HZ25" s="487"/>
      <c r="IA25" s="487"/>
      <c r="IB25" s="487"/>
      <c r="IC25" s="487"/>
      <c r="ID25" s="487"/>
      <c r="IE25" s="487"/>
      <c r="IF25" s="487"/>
      <c r="IG25" s="487"/>
      <c r="IH25" s="487"/>
      <c r="II25" s="487"/>
      <c r="IJ25" s="487"/>
      <c r="IK25" s="487"/>
      <c r="IL25" s="487"/>
      <c r="IM25" s="487"/>
      <c r="IN25" s="487"/>
      <c r="IO25" s="487"/>
      <c r="IP25" s="487"/>
      <c r="IQ25" s="487"/>
      <c r="IR25" s="487"/>
      <c r="IS25" s="487"/>
      <c r="IT25" s="487"/>
    </row>
    <row r="26" s="423" customFormat="1" ht="22.05" customHeight="1" spans="1:254">
      <c r="A26" s="209" t="s">
        <v>25</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c r="BW26" s="487"/>
      <c r="BX26" s="487"/>
      <c r="BY26" s="487"/>
      <c r="BZ26" s="487"/>
      <c r="CA26" s="487"/>
      <c r="CB26" s="487"/>
      <c r="CC26" s="487"/>
      <c r="CD26" s="487"/>
      <c r="CE26" s="487"/>
      <c r="CF26" s="487"/>
      <c r="CG26" s="487"/>
      <c r="CH26" s="487"/>
      <c r="CI26" s="487"/>
      <c r="CJ26" s="487"/>
      <c r="CK26" s="487"/>
      <c r="CL26" s="487"/>
      <c r="CM26" s="487"/>
      <c r="CN26" s="487"/>
      <c r="CO26" s="487"/>
      <c r="CP26" s="487"/>
      <c r="CQ26" s="487"/>
      <c r="CR26" s="487"/>
      <c r="CS26" s="487"/>
      <c r="CT26" s="487"/>
      <c r="CU26" s="487"/>
      <c r="CV26" s="487"/>
      <c r="CW26" s="487"/>
      <c r="CX26" s="487"/>
      <c r="CY26" s="487"/>
      <c r="CZ26" s="487"/>
      <c r="DA26" s="487"/>
      <c r="DB26" s="487"/>
      <c r="DC26" s="487"/>
      <c r="DD26" s="487"/>
      <c r="DE26" s="487"/>
      <c r="DF26" s="487"/>
      <c r="DG26" s="487"/>
      <c r="DH26" s="487"/>
      <c r="DI26" s="487"/>
      <c r="DJ26" s="487"/>
      <c r="DK26" s="487"/>
      <c r="DL26" s="487"/>
      <c r="DM26" s="487"/>
      <c r="DN26" s="487"/>
      <c r="DO26" s="487"/>
      <c r="DP26" s="487"/>
      <c r="DQ26" s="487"/>
      <c r="DR26" s="487"/>
      <c r="DS26" s="487"/>
      <c r="DT26" s="487"/>
      <c r="DU26" s="487"/>
      <c r="DV26" s="487"/>
      <c r="DW26" s="487"/>
      <c r="DX26" s="487"/>
      <c r="DY26" s="487"/>
      <c r="DZ26" s="487"/>
      <c r="EA26" s="487"/>
      <c r="EB26" s="487"/>
      <c r="EC26" s="487"/>
      <c r="ED26" s="487"/>
      <c r="EE26" s="487"/>
      <c r="EF26" s="487"/>
      <c r="EG26" s="487"/>
      <c r="EH26" s="487"/>
      <c r="EI26" s="487"/>
      <c r="EJ26" s="487"/>
      <c r="EK26" s="487"/>
      <c r="EL26" s="487"/>
      <c r="EM26" s="487"/>
      <c r="EN26" s="487"/>
      <c r="EO26" s="487"/>
      <c r="EP26" s="487"/>
      <c r="EQ26" s="487"/>
      <c r="ER26" s="487"/>
      <c r="ES26" s="487"/>
      <c r="ET26" s="487"/>
      <c r="EU26" s="487"/>
      <c r="EV26" s="487"/>
      <c r="EW26" s="487"/>
      <c r="EX26" s="487"/>
      <c r="EY26" s="487"/>
      <c r="EZ26" s="487"/>
      <c r="FA26" s="487"/>
      <c r="FB26" s="487"/>
      <c r="FC26" s="487"/>
      <c r="FD26" s="487"/>
      <c r="FE26" s="487"/>
      <c r="FF26" s="487"/>
      <c r="FG26" s="487"/>
      <c r="FH26" s="487"/>
      <c r="FI26" s="487"/>
      <c r="FJ26" s="487"/>
      <c r="FK26" s="487"/>
      <c r="FL26" s="487"/>
      <c r="FM26" s="487"/>
      <c r="FN26" s="487"/>
      <c r="FO26" s="487"/>
      <c r="FP26" s="487"/>
      <c r="FQ26" s="487"/>
      <c r="FR26" s="487"/>
      <c r="FS26" s="487"/>
      <c r="FT26" s="487"/>
      <c r="FU26" s="487"/>
      <c r="FV26" s="487"/>
      <c r="FW26" s="487"/>
      <c r="FX26" s="487"/>
      <c r="FY26" s="487"/>
      <c r="FZ26" s="487"/>
      <c r="GA26" s="487"/>
      <c r="GB26" s="487"/>
      <c r="GC26" s="487"/>
      <c r="GD26" s="487"/>
      <c r="GE26" s="487"/>
      <c r="GF26" s="487"/>
      <c r="GG26" s="487"/>
      <c r="GH26" s="487"/>
      <c r="GI26" s="487"/>
      <c r="GJ26" s="487"/>
      <c r="GK26" s="487"/>
      <c r="GL26" s="487"/>
      <c r="GM26" s="487"/>
      <c r="GN26" s="487"/>
      <c r="GO26" s="487"/>
      <c r="GP26" s="487"/>
      <c r="GQ26" s="487"/>
      <c r="GR26" s="487"/>
      <c r="GS26" s="487"/>
      <c r="GT26" s="487"/>
      <c r="GU26" s="487"/>
      <c r="GV26" s="487"/>
      <c r="GW26" s="487"/>
      <c r="GX26" s="487"/>
      <c r="GY26" s="487"/>
      <c r="GZ26" s="487"/>
      <c r="HA26" s="487"/>
      <c r="HB26" s="487"/>
      <c r="HC26" s="487"/>
      <c r="HD26" s="487"/>
      <c r="HE26" s="487"/>
      <c r="HF26" s="487"/>
      <c r="HG26" s="487"/>
      <c r="HH26" s="487"/>
      <c r="HI26" s="487"/>
      <c r="HJ26" s="487"/>
      <c r="HK26" s="487"/>
      <c r="HL26" s="487"/>
      <c r="HM26" s="487"/>
      <c r="HN26" s="487"/>
      <c r="HO26" s="487"/>
      <c r="HP26" s="487"/>
      <c r="HQ26" s="487"/>
      <c r="HR26" s="487"/>
      <c r="HS26" s="487"/>
      <c r="HT26" s="487"/>
      <c r="HU26" s="487"/>
      <c r="HV26" s="487"/>
      <c r="HW26" s="487"/>
      <c r="HX26" s="487"/>
      <c r="HY26" s="487"/>
      <c r="HZ26" s="487"/>
      <c r="IA26" s="487"/>
      <c r="IB26" s="487"/>
      <c r="IC26" s="487"/>
      <c r="ID26" s="487"/>
      <c r="IE26" s="487"/>
      <c r="IF26" s="487"/>
      <c r="IG26" s="487"/>
      <c r="IH26" s="487"/>
      <c r="II26" s="487"/>
      <c r="IJ26" s="487"/>
      <c r="IK26" s="487"/>
      <c r="IL26" s="487"/>
      <c r="IM26" s="487"/>
      <c r="IN26" s="487"/>
      <c r="IO26" s="487"/>
      <c r="IP26" s="487"/>
      <c r="IQ26" s="487"/>
      <c r="IR26" s="487"/>
      <c r="IS26" s="487"/>
      <c r="IT26" s="487"/>
    </row>
    <row r="27" s="423" customFormat="1" ht="25.05" customHeight="1" spans="1:254">
      <c r="A27" s="493" t="s">
        <v>26</v>
      </c>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7"/>
      <c r="BX27" s="487"/>
      <c r="BY27" s="487"/>
      <c r="BZ27" s="487"/>
      <c r="CA27" s="487"/>
      <c r="CB27" s="487"/>
      <c r="CC27" s="487"/>
      <c r="CD27" s="487"/>
      <c r="CE27" s="487"/>
      <c r="CF27" s="487"/>
      <c r="CG27" s="487"/>
      <c r="CH27" s="487"/>
      <c r="CI27" s="487"/>
      <c r="CJ27" s="487"/>
      <c r="CK27" s="487"/>
      <c r="CL27" s="487"/>
      <c r="CM27" s="487"/>
      <c r="CN27" s="487"/>
      <c r="CO27" s="487"/>
      <c r="CP27" s="487"/>
      <c r="CQ27" s="487"/>
      <c r="CR27" s="487"/>
      <c r="CS27" s="487"/>
      <c r="CT27" s="487"/>
      <c r="CU27" s="487"/>
      <c r="CV27" s="487"/>
      <c r="CW27" s="487"/>
      <c r="CX27" s="487"/>
      <c r="CY27" s="487"/>
      <c r="CZ27" s="487"/>
      <c r="DA27" s="487"/>
      <c r="DB27" s="487"/>
      <c r="DC27" s="487"/>
      <c r="DD27" s="487"/>
      <c r="DE27" s="487"/>
      <c r="DF27" s="487"/>
      <c r="DG27" s="487"/>
      <c r="DH27" s="487"/>
      <c r="DI27" s="487"/>
      <c r="DJ27" s="487"/>
      <c r="DK27" s="487"/>
      <c r="DL27" s="487"/>
      <c r="DM27" s="487"/>
      <c r="DN27" s="487"/>
      <c r="DO27" s="487"/>
      <c r="DP27" s="487"/>
      <c r="DQ27" s="487"/>
      <c r="DR27" s="487"/>
      <c r="DS27" s="487"/>
      <c r="DT27" s="487"/>
      <c r="DU27" s="487"/>
      <c r="DV27" s="487"/>
      <c r="DW27" s="487"/>
      <c r="DX27" s="487"/>
      <c r="DY27" s="487"/>
      <c r="DZ27" s="487"/>
      <c r="EA27" s="487"/>
      <c r="EB27" s="487"/>
      <c r="EC27" s="487"/>
      <c r="ED27" s="487"/>
      <c r="EE27" s="487"/>
      <c r="EF27" s="487"/>
      <c r="EG27" s="487"/>
      <c r="EH27" s="487"/>
      <c r="EI27" s="487"/>
      <c r="EJ27" s="487"/>
      <c r="EK27" s="487"/>
      <c r="EL27" s="487"/>
      <c r="EM27" s="487"/>
      <c r="EN27" s="487"/>
      <c r="EO27" s="487"/>
      <c r="EP27" s="487"/>
      <c r="EQ27" s="487"/>
      <c r="ER27" s="487"/>
      <c r="ES27" s="487"/>
      <c r="ET27" s="487"/>
      <c r="EU27" s="487"/>
      <c r="EV27" s="487"/>
      <c r="EW27" s="487"/>
      <c r="EX27" s="487"/>
      <c r="EY27" s="487"/>
      <c r="EZ27" s="487"/>
      <c r="FA27" s="487"/>
      <c r="FB27" s="487"/>
      <c r="FC27" s="487"/>
      <c r="FD27" s="487"/>
      <c r="FE27" s="487"/>
      <c r="FF27" s="487"/>
      <c r="FG27" s="487"/>
      <c r="FH27" s="487"/>
      <c r="FI27" s="487"/>
      <c r="FJ27" s="487"/>
      <c r="FK27" s="487"/>
      <c r="FL27" s="487"/>
      <c r="FM27" s="487"/>
      <c r="FN27" s="487"/>
      <c r="FO27" s="487"/>
      <c r="FP27" s="487"/>
      <c r="FQ27" s="487"/>
      <c r="FR27" s="487"/>
      <c r="FS27" s="487"/>
      <c r="FT27" s="487"/>
      <c r="FU27" s="487"/>
      <c r="FV27" s="487"/>
      <c r="FW27" s="487"/>
      <c r="FX27" s="487"/>
      <c r="FY27" s="487"/>
      <c r="FZ27" s="487"/>
      <c r="GA27" s="487"/>
      <c r="GB27" s="487"/>
      <c r="GC27" s="487"/>
      <c r="GD27" s="487"/>
      <c r="GE27" s="487"/>
      <c r="GF27" s="487"/>
      <c r="GG27" s="487"/>
      <c r="GH27" s="487"/>
      <c r="GI27" s="487"/>
      <c r="GJ27" s="487"/>
      <c r="GK27" s="487"/>
      <c r="GL27" s="487"/>
      <c r="GM27" s="487"/>
      <c r="GN27" s="487"/>
      <c r="GO27" s="487"/>
      <c r="GP27" s="487"/>
      <c r="GQ27" s="487"/>
      <c r="GR27" s="487"/>
      <c r="GS27" s="487"/>
      <c r="GT27" s="487"/>
      <c r="GU27" s="487"/>
      <c r="GV27" s="487"/>
      <c r="GW27" s="487"/>
      <c r="GX27" s="487"/>
      <c r="GY27" s="487"/>
      <c r="GZ27" s="487"/>
      <c r="HA27" s="487"/>
      <c r="HB27" s="487"/>
      <c r="HC27" s="487"/>
      <c r="HD27" s="487"/>
      <c r="HE27" s="487"/>
      <c r="HF27" s="487"/>
      <c r="HG27" s="487"/>
      <c r="HH27" s="487"/>
      <c r="HI27" s="487"/>
      <c r="HJ27" s="487"/>
      <c r="HK27" s="487"/>
      <c r="HL27" s="487"/>
      <c r="HM27" s="487"/>
      <c r="HN27" s="487"/>
      <c r="HO27" s="487"/>
      <c r="HP27" s="487"/>
      <c r="HQ27" s="487"/>
      <c r="HR27" s="487"/>
      <c r="HS27" s="487"/>
      <c r="HT27" s="487"/>
      <c r="HU27" s="487"/>
      <c r="HV27" s="487"/>
      <c r="HW27" s="487"/>
      <c r="HX27" s="487"/>
      <c r="HY27" s="487"/>
      <c r="HZ27" s="487"/>
      <c r="IA27" s="487"/>
      <c r="IB27" s="487"/>
      <c r="IC27" s="487"/>
      <c r="ID27" s="487"/>
      <c r="IE27" s="487"/>
      <c r="IF27" s="487"/>
      <c r="IG27" s="487"/>
      <c r="IH27" s="487"/>
      <c r="II27" s="487"/>
      <c r="IJ27" s="487"/>
      <c r="IK27" s="487"/>
      <c r="IL27" s="487"/>
      <c r="IM27" s="487"/>
      <c r="IN27" s="487"/>
      <c r="IO27" s="487"/>
      <c r="IP27" s="487"/>
      <c r="IQ27" s="487"/>
      <c r="IR27" s="487"/>
      <c r="IS27" s="487"/>
      <c r="IT27" s="487"/>
    </row>
    <row r="28" s="423" customFormat="1" ht="39.9" customHeight="1" spans="1:254">
      <c r="A28" s="495" t="s">
        <v>27</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87"/>
      <c r="BE28" s="487"/>
      <c r="BF28" s="487"/>
      <c r="BG28" s="487"/>
      <c r="BH28" s="487"/>
      <c r="BI28" s="487"/>
      <c r="BJ28" s="487"/>
      <c r="BK28" s="487"/>
      <c r="BL28" s="487"/>
      <c r="BM28" s="487"/>
      <c r="BN28" s="487"/>
      <c r="BO28" s="487"/>
      <c r="BP28" s="487"/>
      <c r="BQ28" s="487"/>
      <c r="BR28" s="487"/>
      <c r="BS28" s="487"/>
      <c r="BT28" s="487"/>
      <c r="BU28" s="487"/>
      <c r="BV28" s="487"/>
      <c r="BW28" s="487"/>
      <c r="BX28" s="487"/>
      <c r="BY28" s="487"/>
      <c r="BZ28" s="487"/>
      <c r="CA28" s="487"/>
      <c r="CB28" s="487"/>
      <c r="CC28" s="487"/>
      <c r="CD28" s="487"/>
      <c r="CE28" s="487"/>
      <c r="CF28" s="487"/>
      <c r="CG28" s="487"/>
      <c r="CH28" s="487"/>
      <c r="CI28" s="487"/>
      <c r="CJ28" s="487"/>
      <c r="CK28" s="487"/>
      <c r="CL28" s="487"/>
      <c r="CM28" s="487"/>
      <c r="CN28" s="487"/>
      <c r="CO28" s="487"/>
      <c r="CP28" s="487"/>
      <c r="CQ28" s="487"/>
      <c r="CR28" s="487"/>
      <c r="CS28" s="487"/>
      <c r="CT28" s="487"/>
      <c r="CU28" s="487"/>
      <c r="CV28" s="487"/>
      <c r="CW28" s="487"/>
      <c r="CX28" s="487"/>
      <c r="CY28" s="487"/>
      <c r="CZ28" s="487"/>
      <c r="DA28" s="487"/>
      <c r="DB28" s="487"/>
      <c r="DC28" s="487"/>
      <c r="DD28" s="487"/>
      <c r="DE28" s="487"/>
      <c r="DF28" s="487"/>
      <c r="DG28" s="487"/>
      <c r="DH28" s="487"/>
      <c r="DI28" s="487"/>
      <c r="DJ28" s="487"/>
      <c r="DK28" s="487"/>
      <c r="DL28" s="487"/>
      <c r="DM28" s="487"/>
      <c r="DN28" s="487"/>
      <c r="DO28" s="487"/>
      <c r="DP28" s="487"/>
      <c r="DQ28" s="487"/>
      <c r="DR28" s="487"/>
      <c r="DS28" s="487"/>
      <c r="DT28" s="487"/>
      <c r="DU28" s="487"/>
      <c r="DV28" s="487"/>
      <c r="DW28" s="487"/>
      <c r="DX28" s="487"/>
      <c r="DY28" s="487"/>
      <c r="DZ28" s="487"/>
      <c r="EA28" s="487"/>
      <c r="EB28" s="487"/>
      <c r="EC28" s="487"/>
      <c r="ED28" s="487"/>
      <c r="EE28" s="487"/>
      <c r="EF28" s="487"/>
      <c r="EG28" s="487"/>
      <c r="EH28" s="487"/>
      <c r="EI28" s="487"/>
      <c r="EJ28" s="487"/>
      <c r="EK28" s="487"/>
      <c r="EL28" s="487"/>
      <c r="EM28" s="487"/>
      <c r="EN28" s="487"/>
      <c r="EO28" s="487"/>
      <c r="EP28" s="487"/>
      <c r="EQ28" s="487"/>
      <c r="ER28" s="487"/>
      <c r="ES28" s="487"/>
      <c r="ET28" s="487"/>
      <c r="EU28" s="487"/>
      <c r="EV28" s="487"/>
      <c r="EW28" s="487"/>
      <c r="EX28" s="487"/>
      <c r="EY28" s="487"/>
      <c r="EZ28" s="487"/>
      <c r="FA28" s="487"/>
      <c r="FB28" s="487"/>
      <c r="FC28" s="487"/>
      <c r="FD28" s="487"/>
      <c r="FE28" s="487"/>
      <c r="FF28" s="487"/>
      <c r="FG28" s="487"/>
      <c r="FH28" s="487"/>
      <c r="FI28" s="487"/>
      <c r="FJ28" s="487"/>
      <c r="FK28" s="487"/>
      <c r="FL28" s="487"/>
      <c r="FM28" s="487"/>
      <c r="FN28" s="487"/>
      <c r="FO28" s="487"/>
      <c r="FP28" s="487"/>
      <c r="FQ28" s="487"/>
      <c r="FR28" s="487"/>
      <c r="FS28" s="487"/>
      <c r="FT28" s="487"/>
      <c r="FU28" s="487"/>
      <c r="FV28" s="487"/>
      <c r="FW28" s="487"/>
      <c r="FX28" s="487"/>
      <c r="FY28" s="487"/>
      <c r="FZ28" s="487"/>
      <c r="GA28" s="487"/>
      <c r="GB28" s="487"/>
      <c r="GC28" s="487"/>
      <c r="GD28" s="487"/>
      <c r="GE28" s="487"/>
      <c r="GF28" s="487"/>
      <c r="GG28" s="487"/>
      <c r="GH28" s="487"/>
      <c r="GI28" s="487"/>
      <c r="GJ28" s="487"/>
      <c r="GK28" s="487"/>
      <c r="GL28" s="487"/>
      <c r="GM28" s="487"/>
      <c r="GN28" s="487"/>
      <c r="GO28" s="487"/>
      <c r="GP28" s="487"/>
      <c r="GQ28" s="487"/>
      <c r="GR28" s="487"/>
      <c r="GS28" s="487"/>
      <c r="GT28" s="487"/>
      <c r="GU28" s="487"/>
      <c r="GV28" s="487"/>
      <c r="GW28" s="487"/>
      <c r="GX28" s="487"/>
      <c r="GY28" s="487"/>
      <c r="GZ28" s="487"/>
      <c r="HA28" s="487"/>
      <c r="HB28" s="487"/>
      <c r="HC28" s="487"/>
      <c r="HD28" s="487"/>
      <c r="HE28" s="487"/>
      <c r="HF28" s="487"/>
      <c r="HG28" s="487"/>
      <c r="HH28" s="487"/>
      <c r="HI28" s="487"/>
      <c r="HJ28" s="487"/>
      <c r="HK28" s="487"/>
      <c r="HL28" s="487"/>
      <c r="HM28" s="487"/>
      <c r="HN28" s="487"/>
      <c r="HO28" s="487"/>
      <c r="HP28" s="487"/>
      <c r="HQ28" s="487"/>
      <c r="HR28" s="487"/>
      <c r="HS28" s="487"/>
      <c r="HT28" s="487"/>
      <c r="HU28" s="487"/>
      <c r="HV28" s="487"/>
      <c r="HW28" s="487"/>
      <c r="HX28" s="487"/>
      <c r="HY28" s="487"/>
      <c r="HZ28" s="487"/>
      <c r="IA28" s="487"/>
      <c r="IB28" s="487"/>
      <c r="IC28" s="487"/>
      <c r="ID28" s="487"/>
      <c r="IE28" s="487"/>
      <c r="IF28" s="487"/>
      <c r="IG28" s="487"/>
      <c r="IH28" s="487"/>
      <c r="II28" s="487"/>
      <c r="IJ28" s="487"/>
      <c r="IK28" s="487"/>
      <c r="IL28" s="487"/>
      <c r="IM28" s="487"/>
      <c r="IN28" s="487"/>
      <c r="IO28" s="487"/>
      <c r="IP28" s="487"/>
      <c r="IQ28" s="487"/>
      <c r="IR28" s="487"/>
      <c r="IS28" s="487"/>
      <c r="IT28" s="487"/>
    </row>
    <row r="29" s="423" customFormat="1" ht="39.9" customHeight="1" spans="1:254">
      <c r="A29" s="496"/>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87"/>
      <c r="BW29" s="487"/>
      <c r="BX29" s="487"/>
      <c r="BY29" s="487"/>
      <c r="BZ29" s="487"/>
      <c r="CA29" s="487"/>
      <c r="CB29" s="487"/>
      <c r="CC29" s="487"/>
      <c r="CD29" s="487"/>
      <c r="CE29" s="487"/>
      <c r="CF29" s="487"/>
      <c r="CG29" s="487"/>
      <c r="CH29" s="487"/>
      <c r="CI29" s="487"/>
      <c r="CJ29" s="487"/>
      <c r="CK29" s="487"/>
      <c r="CL29" s="487"/>
      <c r="CM29" s="487"/>
      <c r="CN29" s="487"/>
      <c r="CO29" s="487"/>
      <c r="CP29" s="487"/>
      <c r="CQ29" s="487"/>
      <c r="CR29" s="487"/>
      <c r="CS29" s="487"/>
      <c r="CT29" s="487"/>
      <c r="CU29" s="487"/>
      <c r="CV29" s="487"/>
      <c r="CW29" s="487"/>
      <c r="CX29" s="487"/>
      <c r="CY29" s="487"/>
      <c r="CZ29" s="487"/>
      <c r="DA29" s="487"/>
      <c r="DB29" s="487"/>
      <c r="DC29" s="487"/>
      <c r="DD29" s="487"/>
      <c r="DE29" s="487"/>
      <c r="DF29" s="487"/>
      <c r="DG29" s="487"/>
      <c r="DH29" s="487"/>
      <c r="DI29" s="487"/>
      <c r="DJ29" s="487"/>
      <c r="DK29" s="487"/>
      <c r="DL29" s="487"/>
      <c r="DM29" s="487"/>
      <c r="DN29" s="487"/>
      <c r="DO29" s="487"/>
      <c r="DP29" s="487"/>
      <c r="DQ29" s="487"/>
      <c r="DR29" s="487"/>
      <c r="DS29" s="487"/>
      <c r="DT29" s="487"/>
      <c r="DU29" s="487"/>
      <c r="DV29" s="487"/>
      <c r="DW29" s="487"/>
      <c r="DX29" s="487"/>
      <c r="DY29" s="487"/>
      <c r="DZ29" s="487"/>
      <c r="EA29" s="487"/>
      <c r="EB29" s="487"/>
      <c r="EC29" s="487"/>
      <c r="ED29" s="487"/>
      <c r="EE29" s="487"/>
      <c r="EF29" s="487"/>
      <c r="EG29" s="487"/>
      <c r="EH29" s="487"/>
      <c r="EI29" s="487"/>
      <c r="EJ29" s="487"/>
      <c r="EK29" s="487"/>
      <c r="EL29" s="487"/>
      <c r="EM29" s="487"/>
      <c r="EN29" s="487"/>
      <c r="EO29" s="487"/>
      <c r="EP29" s="487"/>
      <c r="EQ29" s="487"/>
      <c r="ER29" s="487"/>
      <c r="ES29" s="487"/>
      <c r="ET29" s="487"/>
      <c r="EU29" s="487"/>
      <c r="EV29" s="487"/>
      <c r="EW29" s="487"/>
      <c r="EX29" s="487"/>
      <c r="EY29" s="487"/>
      <c r="EZ29" s="487"/>
      <c r="FA29" s="487"/>
      <c r="FB29" s="487"/>
      <c r="FC29" s="487"/>
      <c r="FD29" s="487"/>
      <c r="FE29" s="487"/>
      <c r="FF29" s="487"/>
      <c r="FG29" s="487"/>
      <c r="FH29" s="487"/>
      <c r="FI29" s="487"/>
      <c r="FJ29" s="487"/>
      <c r="FK29" s="487"/>
      <c r="FL29" s="487"/>
      <c r="FM29" s="487"/>
      <c r="FN29" s="487"/>
      <c r="FO29" s="487"/>
      <c r="FP29" s="487"/>
      <c r="FQ29" s="487"/>
      <c r="FR29" s="487"/>
      <c r="FS29" s="487"/>
      <c r="FT29" s="487"/>
      <c r="FU29" s="487"/>
      <c r="FV29" s="487"/>
      <c r="FW29" s="487"/>
      <c r="FX29" s="487"/>
      <c r="FY29" s="487"/>
      <c r="FZ29" s="487"/>
      <c r="GA29" s="487"/>
      <c r="GB29" s="487"/>
      <c r="GC29" s="487"/>
      <c r="GD29" s="487"/>
      <c r="GE29" s="487"/>
      <c r="GF29" s="487"/>
      <c r="GG29" s="487"/>
      <c r="GH29" s="487"/>
      <c r="GI29" s="487"/>
      <c r="GJ29" s="487"/>
      <c r="GK29" s="487"/>
      <c r="GL29" s="487"/>
      <c r="GM29" s="487"/>
      <c r="GN29" s="487"/>
      <c r="GO29" s="487"/>
      <c r="GP29" s="487"/>
      <c r="GQ29" s="487"/>
      <c r="GR29" s="487"/>
      <c r="GS29" s="487"/>
      <c r="GT29" s="487"/>
      <c r="GU29" s="487"/>
      <c r="GV29" s="487"/>
      <c r="GW29" s="487"/>
      <c r="GX29" s="487"/>
      <c r="GY29" s="487"/>
      <c r="GZ29" s="487"/>
      <c r="HA29" s="487"/>
      <c r="HB29" s="487"/>
      <c r="HC29" s="487"/>
      <c r="HD29" s="487"/>
      <c r="HE29" s="487"/>
      <c r="HF29" s="487"/>
      <c r="HG29" s="487"/>
      <c r="HH29" s="487"/>
      <c r="HI29" s="487"/>
      <c r="HJ29" s="487"/>
      <c r="HK29" s="487"/>
      <c r="HL29" s="487"/>
      <c r="HM29" s="487"/>
      <c r="HN29" s="487"/>
      <c r="HO29" s="487"/>
      <c r="HP29" s="487"/>
      <c r="HQ29" s="487"/>
      <c r="HR29" s="487"/>
      <c r="HS29" s="487"/>
      <c r="HT29" s="487"/>
      <c r="HU29" s="487"/>
      <c r="HV29" s="487"/>
      <c r="HW29" s="487"/>
      <c r="HX29" s="487"/>
      <c r="HY29" s="487"/>
      <c r="HZ29" s="487"/>
      <c r="IA29" s="487"/>
      <c r="IB29" s="487"/>
      <c r="IC29" s="487"/>
      <c r="ID29" s="487"/>
      <c r="IE29" s="487"/>
      <c r="IF29" s="487"/>
      <c r="IG29" s="487"/>
      <c r="IH29" s="487"/>
      <c r="II29" s="487"/>
      <c r="IJ29" s="487"/>
      <c r="IK29" s="487"/>
      <c r="IL29" s="487"/>
      <c r="IM29" s="487"/>
      <c r="IN29" s="487"/>
      <c r="IO29" s="487"/>
      <c r="IP29" s="487"/>
      <c r="IQ29" s="487"/>
      <c r="IR29" s="487"/>
      <c r="IS29" s="487"/>
      <c r="IT29" s="487"/>
    </row>
    <row r="30" s="423" customFormat="1" ht="39.9" customHeight="1" spans="1:254">
      <c r="A30" s="496"/>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c r="CP30" s="487"/>
      <c r="CQ30" s="487"/>
      <c r="CR30" s="487"/>
      <c r="CS30" s="487"/>
      <c r="CT30" s="487"/>
      <c r="CU30" s="487"/>
      <c r="CV30" s="487"/>
      <c r="CW30" s="487"/>
      <c r="CX30" s="487"/>
      <c r="CY30" s="487"/>
      <c r="CZ30" s="487"/>
      <c r="DA30" s="487"/>
      <c r="DB30" s="487"/>
      <c r="DC30" s="487"/>
      <c r="DD30" s="487"/>
      <c r="DE30" s="487"/>
      <c r="DF30" s="487"/>
      <c r="DG30" s="487"/>
      <c r="DH30" s="487"/>
      <c r="DI30" s="487"/>
      <c r="DJ30" s="487"/>
      <c r="DK30" s="487"/>
      <c r="DL30" s="487"/>
      <c r="DM30" s="487"/>
      <c r="DN30" s="487"/>
      <c r="DO30" s="487"/>
      <c r="DP30" s="487"/>
      <c r="DQ30" s="487"/>
      <c r="DR30" s="487"/>
      <c r="DS30" s="487"/>
      <c r="DT30" s="487"/>
      <c r="DU30" s="487"/>
      <c r="DV30" s="487"/>
      <c r="DW30" s="487"/>
      <c r="DX30" s="487"/>
      <c r="DY30" s="487"/>
      <c r="DZ30" s="487"/>
      <c r="EA30" s="487"/>
      <c r="EB30" s="487"/>
      <c r="EC30" s="487"/>
      <c r="ED30" s="487"/>
      <c r="EE30" s="487"/>
      <c r="EF30" s="487"/>
      <c r="EG30" s="487"/>
      <c r="EH30" s="487"/>
      <c r="EI30" s="487"/>
      <c r="EJ30" s="487"/>
      <c r="EK30" s="487"/>
      <c r="EL30" s="487"/>
      <c r="EM30" s="487"/>
      <c r="EN30" s="487"/>
      <c r="EO30" s="487"/>
      <c r="EP30" s="487"/>
      <c r="EQ30" s="487"/>
      <c r="ER30" s="487"/>
      <c r="ES30" s="487"/>
      <c r="ET30" s="487"/>
      <c r="EU30" s="487"/>
      <c r="EV30" s="487"/>
      <c r="EW30" s="487"/>
      <c r="EX30" s="487"/>
      <c r="EY30" s="487"/>
      <c r="EZ30" s="487"/>
      <c r="FA30" s="487"/>
      <c r="FB30" s="487"/>
      <c r="FC30" s="487"/>
      <c r="FD30" s="487"/>
      <c r="FE30" s="487"/>
      <c r="FF30" s="487"/>
      <c r="FG30" s="487"/>
      <c r="FH30" s="487"/>
      <c r="FI30" s="487"/>
      <c r="FJ30" s="487"/>
      <c r="FK30" s="487"/>
      <c r="FL30" s="487"/>
      <c r="FM30" s="487"/>
      <c r="FN30" s="487"/>
      <c r="FO30" s="487"/>
      <c r="FP30" s="487"/>
      <c r="FQ30" s="487"/>
      <c r="FR30" s="487"/>
      <c r="FS30" s="487"/>
      <c r="FT30" s="487"/>
      <c r="FU30" s="487"/>
      <c r="FV30" s="487"/>
      <c r="FW30" s="487"/>
      <c r="FX30" s="487"/>
      <c r="FY30" s="487"/>
      <c r="FZ30" s="487"/>
      <c r="GA30" s="487"/>
      <c r="GB30" s="487"/>
      <c r="GC30" s="487"/>
      <c r="GD30" s="487"/>
      <c r="GE30" s="487"/>
      <c r="GF30" s="487"/>
      <c r="GG30" s="487"/>
      <c r="GH30" s="487"/>
      <c r="GI30" s="487"/>
      <c r="GJ30" s="487"/>
      <c r="GK30" s="487"/>
      <c r="GL30" s="487"/>
      <c r="GM30" s="487"/>
      <c r="GN30" s="487"/>
      <c r="GO30" s="487"/>
      <c r="GP30" s="487"/>
      <c r="GQ30" s="487"/>
      <c r="GR30" s="487"/>
      <c r="GS30" s="487"/>
      <c r="GT30" s="487"/>
      <c r="GU30" s="487"/>
      <c r="GV30" s="487"/>
      <c r="GW30" s="487"/>
      <c r="GX30" s="487"/>
      <c r="GY30" s="487"/>
      <c r="GZ30" s="487"/>
      <c r="HA30" s="487"/>
      <c r="HB30" s="487"/>
      <c r="HC30" s="487"/>
      <c r="HD30" s="487"/>
      <c r="HE30" s="487"/>
      <c r="HF30" s="487"/>
      <c r="HG30" s="487"/>
      <c r="HH30" s="487"/>
      <c r="HI30" s="487"/>
      <c r="HJ30" s="487"/>
      <c r="HK30" s="487"/>
      <c r="HL30" s="487"/>
      <c r="HM30" s="487"/>
      <c r="HN30" s="487"/>
      <c r="HO30" s="487"/>
      <c r="HP30" s="487"/>
      <c r="HQ30" s="487"/>
      <c r="HR30" s="487"/>
      <c r="HS30" s="487"/>
      <c r="HT30" s="487"/>
      <c r="HU30" s="487"/>
      <c r="HV30" s="487"/>
      <c r="HW30" s="487"/>
      <c r="HX30" s="487"/>
      <c r="HY30" s="487"/>
      <c r="HZ30" s="487"/>
      <c r="IA30" s="487"/>
      <c r="IB30" s="487"/>
      <c r="IC30" s="487"/>
      <c r="ID30" s="487"/>
      <c r="IE30" s="487"/>
      <c r="IF30" s="487"/>
      <c r="IG30" s="487"/>
      <c r="IH30" s="487"/>
      <c r="II30" s="487"/>
      <c r="IJ30" s="487"/>
      <c r="IK30" s="487"/>
      <c r="IL30" s="487"/>
      <c r="IM30" s="487"/>
      <c r="IN30" s="487"/>
      <c r="IO30" s="487"/>
      <c r="IP30" s="487"/>
      <c r="IQ30" s="487"/>
      <c r="IR30" s="487"/>
      <c r="IS30" s="487"/>
      <c r="IT30" s="487"/>
    </row>
    <row r="31" s="423" customFormat="1" ht="76.05" customHeight="1" spans="1:254">
      <c r="A31" s="496"/>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c r="CJ31" s="487"/>
      <c r="CK31" s="487"/>
      <c r="CL31" s="487"/>
      <c r="CM31" s="487"/>
      <c r="CN31" s="487"/>
      <c r="CO31" s="487"/>
      <c r="CP31" s="487"/>
      <c r="CQ31" s="487"/>
      <c r="CR31" s="487"/>
      <c r="CS31" s="487"/>
      <c r="CT31" s="487"/>
      <c r="CU31" s="487"/>
      <c r="CV31" s="487"/>
      <c r="CW31" s="487"/>
      <c r="CX31" s="487"/>
      <c r="CY31" s="487"/>
      <c r="CZ31" s="487"/>
      <c r="DA31" s="487"/>
      <c r="DB31" s="487"/>
      <c r="DC31" s="487"/>
      <c r="DD31" s="487"/>
      <c r="DE31" s="487"/>
      <c r="DF31" s="487"/>
      <c r="DG31" s="487"/>
      <c r="DH31" s="487"/>
      <c r="DI31" s="487"/>
      <c r="DJ31" s="487"/>
      <c r="DK31" s="487"/>
      <c r="DL31" s="487"/>
      <c r="DM31" s="487"/>
      <c r="DN31" s="487"/>
      <c r="DO31" s="487"/>
      <c r="DP31" s="487"/>
      <c r="DQ31" s="487"/>
      <c r="DR31" s="487"/>
      <c r="DS31" s="487"/>
      <c r="DT31" s="487"/>
      <c r="DU31" s="487"/>
      <c r="DV31" s="487"/>
      <c r="DW31" s="487"/>
      <c r="DX31" s="487"/>
      <c r="DY31" s="487"/>
      <c r="DZ31" s="487"/>
      <c r="EA31" s="487"/>
      <c r="EB31" s="487"/>
      <c r="EC31" s="487"/>
      <c r="ED31" s="487"/>
      <c r="EE31" s="487"/>
      <c r="EF31" s="487"/>
      <c r="EG31" s="487"/>
      <c r="EH31" s="487"/>
      <c r="EI31" s="487"/>
      <c r="EJ31" s="487"/>
      <c r="EK31" s="487"/>
      <c r="EL31" s="487"/>
      <c r="EM31" s="487"/>
      <c r="EN31" s="487"/>
      <c r="EO31" s="487"/>
      <c r="EP31" s="487"/>
      <c r="EQ31" s="487"/>
      <c r="ER31" s="487"/>
      <c r="ES31" s="487"/>
      <c r="ET31" s="487"/>
      <c r="EU31" s="487"/>
      <c r="EV31" s="487"/>
      <c r="EW31" s="487"/>
      <c r="EX31" s="487"/>
      <c r="EY31" s="487"/>
      <c r="EZ31" s="487"/>
      <c r="FA31" s="487"/>
      <c r="FB31" s="487"/>
      <c r="FC31" s="487"/>
      <c r="FD31" s="487"/>
      <c r="FE31" s="487"/>
      <c r="FF31" s="487"/>
      <c r="FG31" s="487"/>
      <c r="FH31" s="487"/>
      <c r="FI31" s="487"/>
      <c r="FJ31" s="487"/>
      <c r="FK31" s="487"/>
      <c r="FL31" s="487"/>
      <c r="FM31" s="487"/>
      <c r="FN31" s="487"/>
      <c r="FO31" s="487"/>
      <c r="FP31" s="487"/>
      <c r="FQ31" s="487"/>
      <c r="FR31" s="487"/>
      <c r="FS31" s="487"/>
      <c r="FT31" s="487"/>
      <c r="FU31" s="487"/>
      <c r="FV31" s="487"/>
      <c r="FW31" s="487"/>
      <c r="FX31" s="487"/>
      <c r="FY31" s="487"/>
      <c r="FZ31" s="487"/>
      <c r="GA31" s="487"/>
      <c r="GB31" s="487"/>
      <c r="GC31" s="487"/>
      <c r="GD31" s="487"/>
      <c r="GE31" s="487"/>
      <c r="GF31" s="487"/>
      <c r="GG31" s="487"/>
      <c r="GH31" s="487"/>
      <c r="GI31" s="487"/>
      <c r="GJ31" s="487"/>
      <c r="GK31" s="487"/>
      <c r="GL31" s="487"/>
      <c r="GM31" s="487"/>
      <c r="GN31" s="487"/>
      <c r="GO31" s="487"/>
      <c r="GP31" s="487"/>
      <c r="GQ31" s="487"/>
      <c r="GR31" s="487"/>
      <c r="GS31" s="487"/>
      <c r="GT31" s="487"/>
      <c r="GU31" s="487"/>
      <c r="GV31" s="487"/>
      <c r="GW31" s="487"/>
      <c r="GX31" s="487"/>
      <c r="GY31" s="487"/>
      <c r="GZ31" s="487"/>
      <c r="HA31" s="487"/>
      <c r="HB31" s="487"/>
      <c r="HC31" s="487"/>
      <c r="HD31" s="487"/>
      <c r="HE31" s="487"/>
      <c r="HF31" s="487"/>
      <c r="HG31" s="487"/>
      <c r="HH31" s="487"/>
      <c r="HI31" s="487"/>
      <c r="HJ31" s="487"/>
      <c r="HK31" s="487"/>
      <c r="HL31" s="487"/>
      <c r="HM31" s="487"/>
      <c r="HN31" s="487"/>
      <c r="HO31" s="487"/>
      <c r="HP31" s="487"/>
      <c r="HQ31" s="487"/>
      <c r="HR31" s="487"/>
      <c r="HS31" s="487"/>
      <c r="HT31" s="487"/>
      <c r="HU31" s="487"/>
      <c r="HV31" s="487"/>
      <c r="HW31" s="487"/>
      <c r="HX31" s="487"/>
      <c r="HY31" s="487"/>
      <c r="HZ31" s="487"/>
      <c r="IA31" s="487"/>
      <c r="IB31" s="487"/>
      <c r="IC31" s="487"/>
      <c r="ID31" s="487"/>
      <c r="IE31" s="487"/>
      <c r="IF31" s="487"/>
      <c r="IG31" s="487"/>
      <c r="IH31" s="487"/>
      <c r="II31" s="487"/>
      <c r="IJ31" s="487"/>
      <c r="IK31" s="487"/>
      <c r="IL31" s="487"/>
      <c r="IM31" s="487"/>
      <c r="IN31" s="487"/>
      <c r="IO31" s="487"/>
      <c r="IP31" s="487"/>
      <c r="IQ31" s="487"/>
      <c r="IR31" s="487"/>
      <c r="IS31" s="487"/>
      <c r="IT31" s="487"/>
    </row>
    <row r="32" s="423" customFormat="1" ht="27" customHeight="1" spans="1:254">
      <c r="A32" s="494" t="s">
        <v>28</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c r="CP32" s="487"/>
      <c r="CQ32" s="487"/>
      <c r="CR32" s="487"/>
      <c r="CS32" s="487"/>
      <c r="CT32" s="487"/>
      <c r="CU32" s="487"/>
      <c r="CV32" s="487"/>
      <c r="CW32" s="487"/>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7"/>
      <c r="DV32" s="487"/>
      <c r="DW32" s="487"/>
      <c r="DX32" s="487"/>
      <c r="DY32" s="487"/>
      <c r="DZ32" s="487"/>
      <c r="EA32" s="487"/>
      <c r="EB32" s="487"/>
      <c r="EC32" s="487"/>
      <c r="ED32" s="487"/>
      <c r="EE32" s="487"/>
      <c r="EF32" s="487"/>
      <c r="EG32" s="487"/>
      <c r="EH32" s="487"/>
      <c r="EI32" s="487"/>
      <c r="EJ32" s="487"/>
      <c r="EK32" s="487"/>
      <c r="EL32" s="487"/>
      <c r="EM32" s="487"/>
      <c r="EN32" s="487"/>
      <c r="EO32" s="487"/>
      <c r="EP32" s="487"/>
      <c r="EQ32" s="487"/>
      <c r="ER32" s="487"/>
      <c r="ES32" s="487"/>
      <c r="ET32" s="487"/>
      <c r="EU32" s="487"/>
      <c r="EV32" s="487"/>
      <c r="EW32" s="487"/>
      <c r="EX32" s="487"/>
      <c r="EY32" s="487"/>
      <c r="EZ32" s="487"/>
      <c r="FA32" s="487"/>
      <c r="FB32" s="487"/>
      <c r="FC32" s="487"/>
      <c r="FD32" s="487"/>
      <c r="FE32" s="487"/>
      <c r="FF32" s="487"/>
      <c r="FG32" s="487"/>
      <c r="FH32" s="487"/>
      <c r="FI32" s="487"/>
      <c r="FJ32" s="487"/>
      <c r="FK32" s="487"/>
      <c r="FL32" s="487"/>
      <c r="FM32" s="487"/>
      <c r="FN32" s="487"/>
      <c r="FO32" s="487"/>
      <c r="FP32" s="487"/>
      <c r="FQ32" s="487"/>
      <c r="FR32" s="487"/>
      <c r="FS32" s="487"/>
      <c r="FT32" s="487"/>
      <c r="FU32" s="487"/>
      <c r="FV32" s="487"/>
      <c r="FW32" s="487"/>
      <c r="FX32" s="487"/>
      <c r="FY32" s="487"/>
      <c r="FZ32" s="487"/>
      <c r="GA32" s="487"/>
      <c r="GB32" s="487"/>
      <c r="GC32" s="487"/>
      <c r="GD32" s="487"/>
      <c r="GE32" s="487"/>
      <c r="GF32" s="487"/>
      <c r="GG32" s="487"/>
      <c r="GH32" s="487"/>
      <c r="GI32" s="487"/>
      <c r="GJ32" s="487"/>
      <c r="GK32" s="487"/>
      <c r="GL32" s="487"/>
      <c r="GM32" s="487"/>
      <c r="GN32" s="487"/>
      <c r="GO32" s="487"/>
      <c r="GP32" s="487"/>
      <c r="GQ32" s="487"/>
      <c r="GR32" s="487"/>
      <c r="GS32" s="487"/>
      <c r="GT32" s="487"/>
      <c r="GU32" s="487"/>
      <c r="GV32" s="487"/>
      <c r="GW32" s="487"/>
      <c r="GX32" s="487"/>
      <c r="GY32" s="487"/>
      <c r="GZ32" s="487"/>
      <c r="HA32" s="487"/>
      <c r="HB32" s="487"/>
      <c r="HC32" s="487"/>
      <c r="HD32" s="487"/>
      <c r="HE32" s="487"/>
      <c r="HF32" s="487"/>
      <c r="HG32" s="487"/>
      <c r="HH32" s="487"/>
      <c r="HI32" s="487"/>
      <c r="HJ32" s="487"/>
      <c r="HK32" s="487"/>
      <c r="HL32" s="487"/>
      <c r="HM32" s="487"/>
      <c r="HN32" s="487"/>
      <c r="HO32" s="487"/>
      <c r="HP32" s="487"/>
      <c r="HQ32" s="487"/>
      <c r="HR32" s="487"/>
      <c r="HS32" s="487"/>
      <c r="HT32" s="487"/>
      <c r="HU32" s="487"/>
      <c r="HV32" s="487"/>
      <c r="HW32" s="487"/>
      <c r="HX32" s="487"/>
      <c r="HY32" s="487"/>
      <c r="HZ32" s="487"/>
      <c r="IA32" s="487"/>
      <c r="IB32" s="487"/>
      <c r="IC32" s="487"/>
      <c r="ID32" s="487"/>
      <c r="IE32" s="487"/>
      <c r="IF32" s="487"/>
      <c r="IG32" s="487"/>
      <c r="IH32" s="487"/>
      <c r="II32" s="487"/>
      <c r="IJ32" s="487"/>
      <c r="IK32" s="487"/>
      <c r="IL32" s="487"/>
      <c r="IM32" s="487"/>
      <c r="IN32" s="487"/>
      <c r="IO32" s="487"/>
      <c r="IP32" s="487"/>
      <c r="IQ32" s="487"/>
      <c r="IR32" s="487"/>
      <c r="IS32" s="487"/>
      <c r="IT32" s="487"/>
    </row>
    <row r="33" s="423" customFormat="1" ht="30" customHeight="1" spans="1:254">
      <c r="A33" s="497" t="s">
        <v>29</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7"/>
      <c r="BH33" s="487"/>
      <c r="BI33" s="487"/>
      <c r="BJ33" s="487"/>
      <c r="BK33" s="487"/>
      <c r="BL33" s="487"/>
      <c r="BM33" s="487"/>
      <c r="BN33" s="487"/>
      <c r="BO33" s="487"/>
      <c r="BP33" s="487"/>
      <c r="BQ33" s="487"/>
      <c r="BR33" s="487"/>
      <c r="BS33" s="487"/>
      <c r="BT33" s="487"/>
      <c r="BU33" s="487"/>
      <c r="BV33" s="487"/>
      <c r="BW33" s="487"/>
      <c r="BX33" s="487"/>
      <c r="BY33" s="487"/>
      <c r="BZ33" s="487"/>
      <c r="CA33" s="487"/>
      <c r="CB33" s="487"/>
      <c r="CC33" s="487"/>
      <c r="CD33" s="487"/>
      <c r="CE33" s="487"/>
      <c r="CF33" s="487"/>
      <c r="CG33" s="487"/>
      <c r="CH33" s="487"/>
      <c r="CI33" s="487"/>
      <c r="CJ33" s="487"/>
      <c r="CK33" s="487"/>
      <c r="CL33" s="487"/>
      <c r="CM33" s="487"/>
      <c r="CN33" s="487"/>
      <c r="CO33" s="487"/>
      <c r="CP33" s="487"/>
      <c r="CQ33" s="487"/>
      <c r="CR33" s="487"/>
      <c r="CS33" s="487"/>
      <c r="CT33" s="487"/>
      <c r="CU33" s="487"/>
      <c r="CV33" s="487"/>
      <c r="CW33" s="487"/>
      <c r="CX33" s="487"/>
      <c r="CY33" s="487"/>
      <c r="CZ33" s="487"/>
      <c r="DA33" s="487"/>
      <c r="DB33" s="487"/>
      <c r="DC33" s="487"/>
      <c r="DD33" s="487"/>
      <c r="DE33" s="487"/>
      <c r="DF33" s="487"/>
      <c r="DG33" s="487"/>
      <c r="DH33" s="487"/>
      <c r="DI33" s="487"/>
      <c r="DJ33" s="487"/>
      <c r="DK33" s="487"/>
      <c r="DL33" s="487"/>
      <c r="DM33" s="487"/>
      <c r="DN33" s="487"/>
      <c r="DO33" s="487"/>
      <c r="DP33" s="487"/>
      <c r="DQ33" s="487"/>
      <c r="DR33" s="487"/>
      <c r="DS33" s="487"/>
      <c r="DT33" s="487"/>
      <c r="DU33" s="487"/>
      <c r="DV33" s="487"/>
      <c r="DW33" s="487"/>
      <c r="DX33" s="487"/>
      <c r="DY33" s="487"/>
      <c r="DZ33" s="487"/>
      <c r="EA33" s="487"/>
      <c r="EB33" s="487"/>
      <c r="EC33" s="487"/>
      <c r="ED33" s="487"/>
      <c r="EE33" s="487"/>
      <c r="EF33" s="487"/>
      <c r="EG33" s="487"/>
      <c r="EH33" s="487"/>
      <c r="EI33" s="487"/>
      <c r="EJ33" s="487"/>
      <c r="EK33" s="487"/>
      <c r="EL33" s="487"/>
      <c r="EM33" s="487"/>
      <c r="EN33" s="487"/>
      <c r="EO33" s="487"/>
      <c r="EP33" s="487"/>
      <c r="EQ33" s="487"/>
      <c r="ER33" s="487"/>
      <c r="ES33" s="487"/>
      <c r="ET33" s="487"/>
      <c r="EU33" s="487"/>
      <c r="EV33" s="487"/>
      <c r="EW33" s="487"/>
      <c r="EX33" s="487"/>
      <c r="EY33" s="487"/>
      <c r="EZ33" s="487"/>
      <c r="FA33" s="487"/>
      <c r="FB33" s="487"/>
      <c r="FC33" s="487"/>
      <c r="FD33" s="487"/>
      <c r="FE33" s="487"/>
      <c r="FF33" s="487"/>
      <c r="FG33" s="487"/>
      <c r="FH33" s="487"/>
      <c r="FI33" s="487"/>
      <c r="FJ33" s="487"/>
      <c r="FK33" s="487"/>
      <c r="FL33" s="487"/>
      <c r="FM33" s="487"/>
      <c r="FN33" s="487"/>
      <c r="FO33" s="487"/>
      <c r="FP33" s="487"/>
      <c r="FQ33" s="487"/>
      <c r="FR33" s="487"/>
      <c r="FS33" s="487"/>
      <c r="FT33" s="487"/>
      <c r="FU33" s="487"/>
      <c r="FV33" s="487"/>
      <c r="FW33" s="487"/>
      <c r="FX33" s="487"/>
      <c r="FY33" s="487"/>
      <c r="FZ33" s="487"/>
      <c r="GA33" s="487"/>
      <c r="GB33" s="487"/>
      <c r="GC33" s="487"/>
      <c r="GD33" s="487"/>
      <c r="GE33" s="487"/>
      <c r="GF33" s="487"/>
      <c r="GG33" s="487"/>
      <c r="GH33" s="487"/>
      <c r="GI33" s="487"/>
      <c r="GJ33" s="487"/>
      <c r="GK33" s="487"/>
      <c r="GL33" s="487"/>
      <c r="GM33" s="487"/>
      <c r="GN33" s="487"/>
      <c r="GO33" s="487"/>
      <c r="GP33" s="487"/>
      <c r="GQ33" s="487"/>
      <c r="GR33" s="487"/>
      <c r="GS33" s="487"/>
      <c r="GT33" s="487"/>
      <c r="GU33" s="487"/>
      <c r="GV33" s="487"/>
      <c r="GW33" s="487"/>
      <c r="GX33" s="487"/>
      <c r="GY33" s="487"/>
      <c r="GZ33" s="487"/>
      <c r="HA33" s="487"/>
      <c r="HB33" s="487"/>
      <c r="HC33" s="487"/>
      <c r="HD33" s="487"/>
      <c r="HE33" s="487"/>
      <c r="HF33" s="487"/>
      <c r="HG33" s="487"/>
      <c r="HH33" s="487"/>
      <c r="HI33" s="487"/>
      <c r="HJ33" s="487"/>
      <c r="HK33" s="487"/>
      <c r="HL33" s="487"/>
      <c r="HM33" s="487"/>
      <c r="HN33" s="487"/>
      <c r="HO33" s="487"/>
      <c r="HP33" s="487"/>
      <c r="HQ33" s="487"/>
      <c r="HR33" s="487"/>
      <c r="HS33" s="487"/>
      <c r="HT33" s="487"/>
      <c r="HU33" s="487"/>
      <c r="HV33" s="487"/>
      <c r="HW33" s="487"/>
      <c r="HX33" s="487"/>
      <c r="HY33" s="487"/>
      <c r="HZ33" s="487"/>
      <c r="IA33" s="487"/>
      <c r="IB33" s="487"/>
      <c r="IC33" s="487"/>
      <c r="ID33" s="487"/>
      <c r="IE33" s="487"/>
      <c r="IF33" s="487"/>
      <c r="IG33" s="487"/>
      <c r="IH33" s="487"/>
      <c r="II33" s="487"/>
      <c r="IJ33" s="487"/>
      <c r="IK33" s="487"/>
      <c r="IL33" s="487"/>
      <c r="IM33" s="487"/>
      <c r="IN33" s="487"/>
      <c r="IO33" s="487"/>
      <c r="IP33" s="487"/>
      <c r="IQ33" s="487"/>
      <c r="IR33" s="487"/>
      <c r="IS33" s="487"/>
      <c r="IT33" s="487"/>
    </row>
    <row r="34" s="423" customFormat="1" ht="24.9" customHeight="1" spans="1:254">
      <c r="A34" s="494" t="s">
        <v>30</v>
      </c>
      <c r="B34" s="48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c r="CO34" s="487"/>
      <c r="CP34" s="487"/>
      <c r="CQ34" s="487"/>
      <c r="CR34" s="487"/>
      <c r="CS34" s="487"/>
      <c r="CT34" s="487"/>
      <c r="CU34" s="487"/>
      <c r="CV34" s="487"/>
      <c r="CW34" s="487"/>
      <c r="CX34" s="487"/>
      <c r="CY34" s="487"/>
      <c r="CZ34" s="487"/>
      <c r="DA34" s="487"/>
      <c r="DB34" s="487"/>
      <c r="DC34" s="487"/>
      <c r="DD34" s="487"/>
      <c r="DE34" s="487"/>
      <c r="DF34" s="487"/>
      <c r="DG34" s="487"/>
      <c r="DH34" s="487"/>
      <c r="DI34" s="487"/>
      <c r="DJ34" s="487"/>
      <c r="DK34" s="487"/>
      <c r="DL34" s="487"/>
      <c r="DM34" s="487"/>
      <c r="DN34" s="487"/>
      <c r="DO34" s="487"/>
      <c r="DP34" s="487"/>
      <c r="DQ34" s="487"/>
      <c r="DR34" s="487"/>
      <c r="DS34" s="487"/>
      <c r="DT34" s="487"/>
      <c r="DU34" s="487"/>
      <c r="DV34" s="487"/>
      <c r="DW34" s="487"/>
      <c r="DX34" s="487"/>
      <c r="DY34" s="487"/>
      <c r="DZ34" s="487"/>
      <c r="EA34" s="487"/>
      <c r="EB34" s="487"/>
      <c r="EC34" s="487"/>
      <c r="ED34" s="487"/>
      <c r="EE34" s="487"/>
      <c r="EF34" s="487"/>
      <c r="EG34" s="487"/>
      <c r="EH34" s="487"/>
      <c r="EI34" s="487"/>
      <c r="EJ34" s="487"/>
      <c r="EK34" s="487"/>
      <c r="EL34" s="487"/>
      <c r="EM34" s="487"/>
      <c r="EN34" s="487"/>
      <c r="EO34" s="487"/>
      <c r="EP34" s="487"/>
      <c r="EQ34" s="487"/>
      <c r="ER34" s="487"/>
      <c r="ES34" s="487"/>
      <c r="ET34" s="487"/>
      <c r="EU34" s="487"/>
      <c r="EV34" s="487"/>
      <c r="EW34" s="487"/>
      <c r="EX34" s="487"/>
      <c r="EY34" s="487"/>
      <c r="EZ34" s="487"/>
      <c r="FA34" s="487"/>
      <c r="FB34" s="487"/>
      <c r="FC34" s="487"/>
      <c r="FD34" s="487"/>
      <c r="FE34" s="487"/>
      <c r="FF34" s="487"/>
      <c r="FG34" s="487"/>
      <c r="FH34" s="487"/>
      <c r="FI34" s="487"/>
      <c r="FJ34" s="487"/>
      <c r="FK34" s="487"/>
      <c r="FL34" s="487"/>
      <c r="FM34" s="487"/>
      <c r="FN34" s="487"/>
      <c r="FO34" s="487"/>
      <c r="FP34" s="487"/>
      <c r="FQ34" s="487"/>
      <c r="FR34" s="487"/>
      <c r="FS34" s="487"/>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7"/>
      <c r="GU34" s="487"/>
      <c r="GV34" s="487"/>
      <c r="GW34" s="487"/>
      <c r="GX34" s="487"/>
      <c r="GY34" s="487"/>
      <c r="GZ34" s="487"/>
      <c r="HA34" s="487"/>
      <c r="HB34" s="487"/>
      <c r="HC34" s="487"/>
      <c r="HD34" s="487"/>
      <c r="HE34" s="487"/>
      <c r="HF34" s="487"/>
      <c r="HG34" s="487"/>
      <c r="HH34" s="487"/>
      <c r="HI34" s="487"/>
      <c r="HJ34" s="487"/>
      <c r="HK34" s="487"/>
      <c r="HL34" s="487"/>
      <c r="HM34" s="487"/>
      <c r="HN34" s="487"/>
      <c r="HO34" s="487"/>
      <c r="HP34" s="487"/>
      <c r="HQ34" s="487"/>
      <c r="HR34" s="487"/>
      <c r="HS34" s="487"/>
      <c r="HT34" s="487"/>
      <c r="HU34" s="487"/>
      <c r="HV34" s="487"/>
      <c r="HW34" s="487"/>
      <c r="HX34" s="487"/>
      <c r="HY34" s="487"/>
      <c r="HZ34" s="487"/>
      <c r="IA34" s="487"/>
      <c r="IB34" s="487"/>
      <c r="IC34" s="487"/>
      <c r="ID34" s="487"/>
      <c r="IE34" s="487"/>
      <c r="IF34" s="487"/>
      <c r="IG34" s="487"/>
      <c r="IH34" s="487"/>
      <c r="II34" s="487"/>
      <c r="IJ34" s="487"/>
      <c r="IK34" s="487"/>
      <c r="IL34" s="487"/>
      <c r="IM34" s="487"/>
      <c r="IN34" s="487"/>
      <c r="IO34" s="487"/>
      <c r="IP34" s="487"/>
      <c r="IQ34" s="487"/>
      <c r="IR34" s="487"/>
      <c r="IS34" s="487"/>
      <c r="IT34" s="487"/>
    </row>
    <row r="35" ht="24.9" customHeight="1" spans="1:1">
      <c r="A35" s="494" t="s">
        <v>31</v>
      </c>
    </row>
    <row r="36" s="486" customFormat="1" ht="24.9" customHeight="1" spans="1:1">
      <c r="A36" s="494" t="s">
        <v>32</v>
      </c>
    </row>
    <row r="37" s="486" customFormat="1" ht="30" customHeight="1" spans="1:254">
      <c r="A37" s="494" t="s">
        <v>33</v>
      </c>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c r="CP37" s="487"/>
      <c r="CQ37" s="487"/>
      <c r="CR37" s="487"/>
      <c r="CS37" s="487"/>
      <c r="CT37" s="487"/>
      <c r="CU37" s="487"/>
      <c r="CV37" s="487"/>
      <c r="CW37" s="487"/>
      <c r="CX37" s="487"/>
      <c r="CY37" s="487"/>
      <c r="CZ37" s="487"/>
      <c r="DA37" s="487"/>
      <c r="DB37" s="487"/>
      <c r="DC37" s="487"/>
      <c r="DD37" s="487"/>
      <c r="DE37" s="487"/>
      <c r="DF37" s="487"/>
      <c r="DG37" s="487"/>
      <c r="DH37" s="487"/>
      <c r="DI37" s="487"/>
      <c r="DJ37" s="487"/>
      <c r="DK37" s="487"/>
      <c r="DL37" s="487"/>
      <c r="DM37" s="487"/>
      <c r="DN37" s="487"/>
      <c r="DO37" s="487"/>
      <c r="DP37" s="487"/>
      <c r="DQ37" s="487"/>
      <c r="DR37" s="487"/>
      <c r="DS37" s="487"/>
      <c r="DT37" s="487"/>
      <c r="DU37" s="487"/>
      <c r="DV37" s="487"/>
      <c r="DW37" s="487"/>
      <c r="DX37" s="487"/>
      <c r="DY37" s="487"/>
      <c r="DZ37" s="487"/>
      <c r="EA37" s="487"/>
      <c r="EB37" s="487"/>
      <c r="EC37" s="487"/>
      <c r="ED37" s="487"/>
      <c r="EE37" s="487"/>
      <c r="EF37" s="487"/>
      <c r="EG37" s="487"/>
      <c r="EH37" s="487"/>
      <c r="EI37" s="487"/>
      <c r="EJ37" s="487"/>
      <c r="EK37" s="487"/>
      <c r="EL37" s="487"/>
      <c r="EM37" s="487"/>
      <c r="EN37" s="487"/>
      <c r="EO37" s="487"/>
      <c r="EP37" s="487"/>
      <c r="EQ37" s="487"/>
      <c r="ER37" s="487"/>
      <c r="ES37" s="487"/>
      <c r="ET37" s="487"/>
      <c r="EU37" s="487"/>
      <c r="EV37" s="487"/>
      <c r="EW37" s="487"/>
      <c r="EX37" s="487"/>
      <c r="EY37" s="487"/>
      <c r="EZ37" s="487"/>
      <c r="FA37" s="487"/>
      <c r="FB37" s="487"/>
      <c r="FC37" s="487"/>
      <c r="FD37" s="487"/>
      <c r="FE37" s="487"/>
      <c r="FF37" s="487"/>
      <c r="FG37" s="487"/>
      <c r="FH37" s="487"/>
      <c r="FI37" s="487"/>
      <c r="FJ37" s="487"/>
      <c r="FK37" s="487"/>
      <c r="FL37" s="487"/>
      <c r="FM37" s="487"/>
      <c r="FN37" s="487"/>
      <c r="FO37" s="487"/>
      <c r="FP37" s="487"/>
      <c r="FQ37" s="487"/>
      <c r="FR37" s="487"/>
      <c r="FS37" s="487"/>
      <c r="FT37" s="487"/>
      <c r="FU37" s="487"/>
      <c r="FV37" s="487"/>
      <c r="FW37" s="487"/>
      <c r="FX37" s="487"/>
      <c r="FY37" s="487"/>
      <c r="FZ37" s="487"/>
      <c r="GA37" s="487"/>
      <c r="GB37" s="487"/>
      <c r="GC37" s="487"/>
      <c r="GD37" s="487"/>
      <c r="GE37" s="487"/>
      <c r="GF37" s="487"/>
      <c r="GG37" s="487"/>
      <c r="GH37" s="487"/>
      <c r="GI37" s="487"/>
      <c r="GJ37" s="487"/>
      <c r="GK37" s="487"/>
      <c r="GL37" s="487"/>
      <c r="GM37" s="487"/>
      <c r="GN37" s="487"/>
      <c r="GO37" s="487"/>
      <c r="GP37" s="487"/>
      <c r="GQ37" s="487"/>
      <c r="GR37" s="487"/>
      <c r="GS37" s="487"/>
      <c r="GT37" s="487"/>
      <c r="GU37" s="487"/>
      <c r="GV37" s="487"/>
      <c r="GW37" s="487"/>
      <c r="GX37" s="487"/>
      <c r="GY37" s="487"/>
      <c r="GZ37" s="487"/>
      <c r="HA37" s="487"/>
      <c r="HB37" s="487"/>
      <c r="HC37" s="487"/>
      <c r="HD37" s="487"/>
      <c r="HE37" s="487"/>
      <c r="HF37" s="487"/>
      <c r="HG37" s="487"/>
      <c r="HH37" s="487"/>
      <c r="HI37" s="487"/>
      <c r="HJ37" s="487"/>
      <c r="HK37" s="487"/>
      <c r="HL37" s="487"/>
      <c r="HM37" s="487"/>
      <c r="HN37" s="487"/>
      <c r="HO37" s="487"/>
      <c r="HP37" s="487"/>
      <c r="HQ37" s="487"/>
      <c r="HR37" s="487"/>
      <c r="HS37" s="487"/>
      <c r="HT37" s="487"/>
      <c r="HU37" s="487"/>
      <c r="HV37" s="487"/>
      <c r="HW37" s="487"/>
      <c r="HX37" s="487"/>
      <c r="HY37" s="487"/>
      <c r="HZ37" s="487"/>
      <c r="IA37" s="487"/>
      <c r="IB37" s="487"/>
      <c r="IC37" s="487"/>
      <c r="ID37" s="487"/>
      <c r="IE37" s="487"/>
      <c r="IF37" s="487"/>
      <c r="IG37" s="487"/>
      <c r="IH37" s="487"/>
      <c r="II37" s="487"/>
      <c r="IJ37" s="487"/>
      <c r="IK37" s="487"/>
      <c r="IL37" s="487"/>
      <c r="IM37" s="487"/>
      <c r="IN37" s="487"/>
      <c r="IO37" s="487"/>
      <c r="IP37" s="487"/>
      <c r="IQ37" s="487"/>
      <c r="IR37" s="487"/>
      <c r="IS37" s="487"/>
      <c r="IT37" s="487"/>
    </row>
    <row r="38" s="486" customFormat="1" ht="24.9" customHeight="1" spans="1:1">
      <c r="A38" s="494" t="s">
        <v>34</v>
      </c>
    </row>
  </sheetData>
  <mergeCells count="1">
    <mergeCell ref="A28:A31"/>
  </mergeCells>
  <dataValidations count="1">
    <dataValidation type="list" allowBlank="1" showInputMessage="1" showErrorMessage="1" sqref="IS65478:IT65480" errorStyle="information">
      <formula1>"25,26,27"</formula1>
    </dataValidation>
  </dataValidations>
  <printOptions horizontalCentered="1"/>
  <pageMargins left="0" right="0" top="0.393055555555556" bottom="0.393055555555556"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0"/>
  <sheetViews>
    <sheetView view="pageBreakPreview" zoomScaleNormal="100" workbookViewId="0">
      <pane ySplit="4" topLeftCell="A33" activePane="bottomLeft" state="frozen"/>
      <selection/>
      <selection pane="bottomLeft" activeCell="L29" sqref="L29"/>
    </sheetView>
  </sheetViews>
  <sheetFormatPr defaultColWidth="9" defaultRowHeight="14"/>
  <cols>
    <col min="1" max="1" width="5.66363636363636" style="47" customWidth="1"/>
    <col min="2" max="2" width="15.6636363636364" style="47" customWidth="1"/>
    <col min="3" max="3" width="24.3363636363636"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99" t="s">
        <v>358</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s="334" customFormat="1" ht="25.05" customHeight="1" spans="1:13">
      <c r="A5" s="220" t="s">
        <v>193</v>
      </c>
      <c r="B5" s="221" t="s">
        <v>327</v>
      </c>
      <c r="C5" s="221"/>
      <c r="D5" s="222"/>
      <c r="E5" s="222"/>
      <c r="F5" s="222"/>
      <c r="G5" s="223"/>
      <c r="H5" s="224"/>
      <c r="I5" s="224"/>
      <c r="J5" s="224"/>
      <c r="K5" s="224"/>
      <c r="L5" s="231"/>
      <c r="M5" s="224"/>
    </row>
    <row r="6" s="335" customFormat="1" ht="126" customHeight="1" spans="1:13">
      <c r="A6" s="24">
        <v>1</v>
      </c>
      <c r="B6" s="63" t="s">
        <v>195</v>
      </c>
      <c r="C6" s="63" t="s">
        <v>328</v>
      </c>
      <c r="D6" s="76" t="s">
        <v>197</v>
      </c>
      <c r="E6" s="225" t="s">
        <v>198</v>
      </c>
      <c r="F6" s="106">
        <f>1689.67-F7</f>
        <v>1339.82</v>
      </c>
      <c r="G6" s="29"/>
      <c r="H6" s="29"/>
      <c r="I6" s="42">
        <f>SUM(G6:H6)*$I$4</f>
        <v>0</v>
      </c>
      <c r="J6" s="42">
        <f>SUM(G6:I6)*$J$4</f>
        <v>0</v>
      </c>
      <c r="K6" s="42">
        <f t="shared" ref="K6:K14" si="0">SUM(G6:J6)</f>
        <v>0</v>
      </c>
      <c r="L6" s="42">
        <f t="shared" ref="L6:L14" si="1">F6*K6</f>
        <v>0</v>
      </c>
      <c r="M6" s="29" t="s">
        <v>199</v>
      </c>
    </row>
    <row r="7" s="335" customFormat="1" ht="126" customHeight="1" spans="1:13">
      <c r="A7" s="24">
        <v>2</v>
      </c>
      <c r="B7" s="63" t="s">
        <v>305</v>
      </c>
      <c r="C7" s="63" t="s">
        <v>329</v>
      </c>
      <c r="D7" s="76" t="s">
        <v>330</v>
      </c>
      <c r="E7" s="225" t="s">
        <v>198</v>
      </c>
      <c r="F7" s="106">
        <v>349.85</v>
      </c>
      <c r="G7" s="29"/>
      <c r="H7" s="29"/>
      <c r="I7" s="42">
        <f>SUM(G7:H7)*$I$4</f>
        <v>0</v>
      </c>
      <c r="J7" s="42">
        <f>SUM(G7:I7)*$J$4</f>
        <v>0</v>
      </c>
      <c r="K7" s="42">
        <f t="shared" si="0"/>
        <v>0</v>
      </c>
      <c r="L7" s="42">
        <f t="shared" si="1"/>
        <v>0</v>
      </c>
      <c r="M7" s="29" t="s">
        <v>199</v>
      </c>
    </row>
    <row r="8" s="335" customFormat="1" ht="126" customHeight="1" spans="1:13">
      <c r="A8" s="24">
        <v>3</v>
      </c>
      <c r="B8" s="63" t="s">
        <v>195</v>
      </c>
      <c r="C8" s="63" t="s">
        <v>331</v>
      </c>
      <c r="D8" s="76" t="s">
        <v>197</v>
      </c>
      <c r="E8" s="225" t="s">
        <v>198</v>
      </c>
      <c r="F8" s="106">
        <v>182.98</v>
      </c>
      <c r="G8" s="29"/>
      <c r="H8" s="29"/>
      <c r="I8" s="42">
        <f>SUM(G8:H8)*$I$4</f>
        <v>0</v>
      </c>
      <c r="J8" s="42">
        <f>SUM(G8:I8)*$J$4</f>
        <v>0</v>
      </c>
      <c r="K8" s="42">
        <f t="shared" si="0"/>
        <v>0</v>
      </c>
      <c r="L8" s="42">
        <f t="shared" si="1"/>
        <v>0</v>
      </c>
      <c r="M8" s="29" t="s">
        <v>199</v>
      </c>
    </row>
    <row r="9" s="335" customFormat="1" ht="126" customHeight="1" spans="1:13">
      <c r="A9" s="24">
        <v>4</v>
      </c>
      <c r="B9" s="63" t="s">
        <v>195</v>
      </c>
      <c r="C9" s="63" t="s">
        <v>332</v>
      </c>
      <c r="D9" s="76" t="s">
        <v>197</v>
      </c>
      <c r="E9" s="225" t="s">
        <v>198</v>
      </c>
      <c r="F9" s="106">
        <v>44.2</v>
      </c>
      <c r="G9" s="29"/>
      <c r="H9" s="29"/>
      <c r="I9" s="42">
        <f>SUM(G9:H9)*$I$4</f>
        <v>0</v>
      </c>
      <c r="J9" s="42">
        <f>SUM(G9:I9)*$J$4</f>
        <v>0</v>
      </c>
      <c r="K9" s="42">
        <f t="shared" si="0"/>
        <v>0</v>
      </c>
      <c r="L9" s="42">
        <f t="shared" si="1"/>
        <v>0</v>
      </c>
      <c r="M9" s="29" t="s">
        <v>199</v>
      </c>
    </row>
    <row r="10" s="97" customFormat="1" ht="120" spans="1:13">
      <c r="A10" s="24">
        <v>5</v>
      </c>
      <c r="B10" s="63" t="s">
        <v>195</v>
      </c>
      <c r="C10" s="63" t="s">
        <v>200</v>
      </c>
      <c r="D10" s="76" t="s">
        <v>197</v>
      </c>
      <c r="E10" s="225" t="s">
        <v>198</v>
      </c>
      <c r="F10" s="64">
        <f>(3+1.76)*4+13.5+3</f>
        <v>35.54</v>
      </c>
      <c r="G10" s="29"/>
      <c r="H10" s="29"/>
      <c r="I10" s="42">
        <f>SUM(G10:H10)*$I$4</f>
        <v>0</v>
      </c>
      <c r="J10" s="42">
        <f>SUM(G10:I10)*$J$4</f>
        <v>0</v>
      </c>
      <c r="K10" s="42">
        <f t="shared" si="0"/>
        <v>0</v>
      </c>
      <c r="L10" s="42">
        <f t="shared" si="1"/>
        <v>0</v>
      </c>
      <c r="M10" s="29" t="s">
        <v>199</v>
      </c>
    </row>
    <row r="11" s="335" customFormat="1" ht="96" spans="1:13">
      <c r="A11" s="24">
        <v>7</v>
      </c>
      <c r="B11" s="63" t="s">
        <v>219</v>
      </c>
      <c r="C11" s="63" t="s">
        <v>333</v>
      </c>
      <c r="D11" s="63" t="s">
        <v>197</v>
      </c>
      <c r="E11" s="63" t="s">
        <v>198</v>
      </c>
      <c r="F11" s="106">
        <v>32.72</v>
      </c>
      <c r="G11" s="29"/>
      <c r="H11" s="29"/>
      <c r="I11" s="42">
        <f>SUM(G11:H11)*$I$4</f>
        <v>0</v>
      </c>
      <c r="J11" s="42">
        <f>SUM(G11:I11)*$J$4</f>
        <v>0</v>
      </c>
      <c r="K11" s="42">
        <f t="shared" si="0"/>
        <v>0</v>
      </c>
      <c r="L11" s="42">
        <f t="shared" si="1"/>
        <v>0</v>
      </c>
      <c r="M11" s="29" t="s">
        <v>218</v>
      </c>
    </row>
    <row r="12" s="335" customFormat="1" ht="48" spans="1:13">
      <c r="A12" s="24">
        <v>8</v>
      </c>
      <c r="B12" s="63" t="s">
        <v>208</v>
      </c>
      <c r="C12" s="63" t="s">
        <v>334</v>
      </c>
      <c r="D12" s="63" t="s">
        <v>210</v>
      </c>
      <c r="E12" s="63" t="s">
        <v>211</v>
      </c>
      <c r="F12" s="106">
        <f>3819.3-F10</f>
        <v>3783.76</v>
      </c>
      <c r="G12" s="29"/>
      <c r="H12" s="29"/>
      <c r="I12" s="42">
        <f>SUM(G12:H12)*$I$4</f>
        <v>0</v>
      </c>
      <c r="J12" s="42">
        <f>SUM(G12:I12)*$J$4</f>
        <v>0</v>
      </c>
      <c r="K12" s="42">
        <f t="shared" si="0"/>
        <v>0</v>
      </c>
      <c r="L12" s="42">
        <f t="shared" si="1"/>
        <v>0</v>
      </c>
      <c r="M12" s="29" t="s">
        <v>212</v>
      </c>
    </row>
    <row r="13" s="2" customFormat="1" ht="48" spans="1:13">
      <c r="A13" s="24">
        <v>9</v>
      </c>
      <c r="B13" s="63" t="s">
        <v>213</v>
      </c>
      <c r="C13" s="63" t="s">
        <v>335</v>
      </c>
      <c r="D13" s="63" t="s">
        <v>215</v>
      </c>
      <c r="E13" s="63" t="s">
        <v>211</v>
      </c>
      <c r="F13" s="106">
        <f>F12</f>
        <v>3783.76</v>
      </c>
      <c r="G13" s="29"/>
      <c r="H13" s="29"/>
      <c r="I13" s="42">
        <f>SUM(G13:H13)*$I$4</f>
        <v>0</v>
      </c>
      <c r="J13" s="42">
        <f>SUM(G13:I13)*$J$4</f>
        <v>0</v>
      </c>
      <c r="K13" s="42">
        <f t="shared" si="0"/>
        <v>0</v>
      </c>
      <c r="L13" s="42">
        <f t="shared" si="1"/>
        <v>0</v>
      </c>
      <c r="M13" s="29" t="s">
        <v>212</v>
      </c>
    </row>
    <row r="14" s="2" customFormat="1" ht="37.95" customHeight="1" spans="1:13">
      <c r="A14" s="24">
        <v>10</v>
      </c>
      <c r="B14" s="63" t="s">
        <v>221</v>
      </c>
      <c r="C14" s="63" t="s">
        <v>222</v>
      </c>
      <c r="D14" s="63" t="s">
        <v>223</v>
      </c>
      <c r="E14" s="63" t="s">
        <v>178</v>
      </c>
      <c r="F14" s="64">
        <f>(5.2+4.88)*5*0.4</f>
        <v>20.16</v>
      </c>
      <c r="G14" s="29"/>
      <c r="H14" s="29"/>
      <c r="I14" s="42">
        <f>SUM(G14:H14)*$I$4</f>
        <v>0</v>
      </c>
      <c r="J14" s="42">
        <f>SUM(G14:I14)*$J$4</f>
        <v>0</v>
      </c>
      <c r="K14" s="42">
        <f t="shared" si="0"/>
        <v>0</v>
      </c>
      <c r="L14" s="42">
        <f t="shared" si="1"/>
        <v>0</v>
      </c>
      <c r="M14" s="29" t="s">
        <v>224</v>
      </c>
    </row>
    <row r="15" s="336" customFormat="1" ht="25.05" customHeight="1" spans="1:13">
      <c r="A15" s="220" t="s">
        <v>225</v>
      </c>
      <c r="B15" s="221" t="s">
        <v>336</v>
      </c>
      <c r="C15" s="221"/>
      <c r="D15" s="222"/>
      <c r="E15" s="222"/>
      <c r="F15" s="222"/>
      <c r="G15" s="223"/>
      <c r="H15" s="224"/>
      <c r="I15" s="224"/>
      <c r="J15" s="224"/>
      <c r="K15" s="224"/>
      <c r="L15" s="231"/>
      <c r="M15" s="231"/>
    </row>
    <row r="16" s="2" customFormat="1" ht="85.05" customHeight="1" spans="1:13">
      <c r="A16" s="24">
        <v>1</v>
      </c>
      <c r="B16" s="70" t="s">
        <v>227</v>
      </c>
      <c r="C16" s="70" t="s">
        <v>228</v>
      </c>
      <c r="D16" s="189" t="s">
        <v>229</v>
      </c>
      <c r="E16" s="66" t="s">
        <v>198</v>
      </c>
      <c r="F16" s="106">
        <v>1567.38</v>
      </c>
      <c r="G16" s="29"/>
      <c r="H16" s="29"/>
      <c r="I16" s="42">
        <f>SUM(G16:H16)*$I$4</f>
        <v>0</v>
      </c>
      <c r="J16" s="42">
        <f>SUM(G16:I16)*$J$4</f>
        <v>0</v>
      </c>
      <c r="K16" s="42">
        <f t="shared" ref="K16:K27" si="2">SUM(G16:J16)</f>
        <v>0</v>
      </c>
      <c r="L16" s="42">
        <f t="shared" ref="L16:L27" si="3">F16*K16</f>
        <v>0</v>
      </c>
      <c r="M16" s="29" t="s">
        <v>230</v>
      </c>
    </row>
    <row r="17" s="2" customFormat="1" ht="96" spans="1:13">
      <c r="A17" s="24">
        <v>2</v>
      </c>
      <c r="B17" s="70" t="s">
        <v>231</v>
      </c>
      <c r="C17" s="70" t="s">
        <v>232</v>
      </c>
      <c r="D17" s="167" t="s">
        <v>233</v>
      </c>
      <c r="E17" s="66" t="s">
        <v>198</v>
      </c>
      <c r="F17" s="106">
        <f>3535.02-F18</f>
        <v>2296.77</v>
      </c>
      <c r="G17" s="29"/>
      <c r="H17" s="29"/>
      <c r="I17" s="42">
        <f>SUM(G17:H17)*$I$4</f>
        <v>0</v>
      </c>
      <c r="J17" s="42">
        <f>SUM(G17:I17)*$J$4</f>
        <v>0</v>
      </c>
      <c r="K17" s="42">
        <f t="shared" si="2"/>
        <v>0</v>
      </c>
      <c r="L17" s="42">
        <f t="shared" si="3"/>
        <v>0</v>
      </c>
      <c r="M17" s="29" t="s">
        <v>337</v>
      </c>
    </row>
    <row r="18" s="97" customFormat="1" ht="96" spans="1:13">
      <c r="A18" s="24">
        <v>3</v>
      </c>
      <c r="B18" s="70" t="s">
        <v>338</v>
      </c>
      <c r="C18" s="70" t="s">
        <v>339</v>
      </c>
      <c r="D18" s="167" t="s">
        <v>233</v>
      </c>
      <c r="E18" s="66" t="s">
        <v>198</v>
      </c>
      <c r="F18" s="106">
        <v>1238.25</v>
      </c>
      <c r="G18" s="29"/>
      <c r="H18" s="29"/>
      <c r="I18" s="42">
        <f>SUM(G18:H18)*$I$4</f>
        <v>0</v>
      </c>
      <c r="J18" s="42">
        <f>SUM(G18:I18)*$J$4</f>
        <v>0</v>
      </c>
      <c r="K18" s="42">
        <f t="shared" si="2"/>
        <v>0</v>
      </c>
      <c r="L18" s="42">
        <f t="shared" si="3"/>
        <v>0</v>
      </c>
      <c r="M18" s="29" t="s">
        <v>340</v>
      </c>
    </row>
    <row r="19" s="2" customFormat="1" ht="72" spans="1:13">
      <c r="A19" s="24">
        <v>4</v>
      </c>
      <c r="B19" s="70" t="s">
        <v>235</v>
      </c>
      <c r="C19" s="70" t="s">
        <v>353</v>
      </c>
      <c r="D19" s="189" t="s">
        <v>229</v>
      </c>
      <c r="E19" s="66" t="s">
        <v>198</v>
      </c>
      <c r="F19" s="106">
        <v>310.5</v>
      </c>
      <c r="G19" s="29"/>
      <c r="H19" s="29"/>
      <c r="I19" s="42">
        <f>SUM(G19:H19)*$I$4</f>
        <v>0</v>
      </c>
      <c r="J19" s="42">
        <f>SUM(G19:I19)*$J$4</f>
        <v>0</v>
      </c>
      <c r="K19" s="42">
        <f t="shared" si="2"/>
        <v>0</v>
      </c>
      <c r="L19" s="42">
        <f t="shared" si="3"/>
        <v>0</v>
      </c>
      <c r="M19" s="29" t="s">
        <v>230</v>
      </c>
    </row>
    <row r="20" s="2" customFormat="1" ht="108" spans="1:13">
      <c r="A20" s="24">
        <v>5</v>
      </c>
      <c r="B20" s="113" t="s">
        <v>237</v>
      </c>
      <c r="C20" s="114" t="s">
        <v>238</v>
      </c>
      <c r="D20" s="167" t="s">
        <v>233</v>
      </c>
      <c r="E20" s="116" t="s">
        <v>211</v>
      </c>
      <c r="F20" s="64">
        <v>345.5</v>
      </c>
      <c r="G20" s="29"/>
      <c r="H20" s="29"/>
      <c r="I20" s="42">
        <f>SUM(G20:H20)*$I$4</f>
        <v>0</v>
      </c>
      <c r="J20" s="42">
        <f>SUM(G20:I20)*$J$4</f>
        <v>0</v>
      </c>
      <c r="K20" s="42">
        <f t="shared" si="2"/>
        <v>0</v>
      </c>
      <c r="L20" s="42">
        <f t="shared" si="3"/>
        <v>0</v>
      </c>
      <c r="M20" s="29" t="s">
        <v>230</v>
      </c>
    </row>
    <row r="21" s="97" customFormat="1" ht="132" spans="1:13">
      <c r="A21" s="24">
        <v>6</v>
      </c>
      <c r="B21" s="186" t="s">
        <v>341</v>
      </c>
      <c r="C21" s="187" t="s">
        <v>240</v>
      </c>
      <c r="D21" s="188" t="s">
        <v>233</v>
      </c>
      <c r="E21" s="127" t="s">
        <v>211</v>
      </c>
      <c r="F21" s="64">
        <f>2948.11-F22</f>
        <v>2646.89</v>
      </c>
      <c r="G21" s="29"/>
      <c r="H21" s="29"/>
      <c r="I21" s="42">
        <f>SUM(G21:H21)*$I$4</f>
        <v>0</v>
      </c>
      <c r="J21" s="42">
        <f>SUM(G21:I21)*$J$4</f>
        <v>0</v>
      </c>
      <c r="K21" s="42">
        <f t="shared" si="2"/>
        <v>0</v>
      </c>
      <c r="L21" s="42">
        <f t="shared" si="3"/>
        <v>0</v>
      </c>
      <c r="M21" s="29" t="s">
        <v>354</v>
      </c>
    </row>
    <row r="22" s="2" customFormat="1" ht="132" spans="1:13">
      <c r="A22" s="24">
        <v>7</v>
      </c>
      <c r="B22" s="186" t="s">
        <v>239</v>
      </c>
      <c r="C22" s="187" t="s">
        <v>240</v>
      </c>
      <c r="D22" s="188" t="s">
        <v>233</v>
      </c>
      <c r="E22" s="127" t="s">
        <v>211</v>
      </c>
      <c r="F22" s="106">
        <v>301.22</v>
      </c>
      <c r="G22" s="29"/>
      <c r="H22" s="29"/>
      <c r="I22" s="42">
        <f>SUM(G22:H22)*$I$4</f>
        <v>0</v>
      </c>
      <c r="J22" s="42">
        <f>SUM(G22:I22)*$J$4</f>
        <v>0</v>
      </c>
      <c r="K22" s="42">
        <f t="shared" si="2"/>
        <v>0</v>
      </c>
      <c r="L22" s="42">
        <f t="shared" si="3"/>
        <v>0</v>
      </c>
      <c r="M22" s="29" t="s">
        <v>234</v>
      </c>
    </row>
    <row r="23" s="97" customFormat="1" ht="156" spans="1:13">
      <c r="A23" s="24">
        <v>8</v>
      </c>
      <c r="B23" s="186" t="s">
        <v>343</v>
      </c>
      <c r="C23" s="187" t="s">
        <v>355</v>
      </c>
      <c r="D23" s="188" t="s">
        <v>233</v>
      </c>
      <c r="E23" s="66" t="s">
        <v>198</v>
      </c>
      <c r="F23" s="106">
        <f>F24*1.1</f>
        <v>681.978</v>
      </c>
      <c r="G23" s="29"/>
      <c r="H23" s="29"/>
      <c r="I23" s="42">
        <f>SUM(G23:H23)*$I$4</f>
        <v>0</v>
      </c>
      <c r="J23" s="42">
        <f>SUM(G23:I23)*$J$4</f>
        <v>0</v>
      </c>
      <c r="K23" s="42">
        <f t="shared" si="2"/>
        <v>0</v>
      </c>
      <c r="L23" s="42">
        <f t="shared" si="3"/>
        <v>0</v>
      </c>
      <c r="M23" s="29" t="s">
        <v>354</v>
      </c>
    </row>
    <row r="24" s="2" customFormat="1" ht="72" spans="1:13">
      <c r="A24" s="24">
        <v>9</v>
      </c>
      <c r="B24" s="167" t="s">
        <v>241</v>
      </c>
      <c r="C24" s="167" t="s">
        <v>242</v>
      </c>
      <c r="D24" s="167" t="s">
        <v>197</v>
      </c>
      <c r="E24" s="66" t="s">
        <v>198</v>
      </c>
      <c r="F24" s="106">
        <v>619.98</v>
      </c>
      <c r="G24" s="29"/>
      <c r="H24" s="29"/>
      <c r="I24" s="42">
        <f>SUM(G24:H24)*$I$4</f>
        <v>0</v>
      </c>
      <c r="J24" s="42">
        <f>SUM(G24:I24)*$J$4</f>
        <v>0</v>
      </c>
      <c r="K24" s="42">
        <f t="shared" si="2"/>
        <v>0</v>
      </c>
      <c r="L24" s="42">
        <f t="shared" si="3"/>
        <v>0</v>
      </c>
      <c r="M24" s="29" t="s">
        <v>243</v>
      </c>
    </row>
    <row r="25" s="2" customFormat="1" ht="72" spans="1:13">
      <c r="A25" s="24">
        <v>10</v>
      </c>
      <c r="B25" s="70" t="s">
        <v>313</v>
      </c>
      <c r="C25" s="70" t="s">
        <v>314</v>
      </c>
      <c r="D25" s="189" t="s">
        <v>229</v>
      </c>
      <c r="E25" s="66" t="s">
        <v>198</v>
      </c>
      <c r="F25" s="106">
        <v>179.16</v>
      </c>
      <c r="G25" s="29"/>
      <c r="H25" s="29"/>
      <c r="I25" s="42">
        <f>SUM(G25:H25)*$I$4</f>
        <v>0</v>
      </c>
      <c r="J25" s="42">
        <f>SUM(G25:I25)*$J$4</f>
        <v>0</v>
      </c>
      <c r="K25" s="42">
        <f t="shared" si="2"/>
        <v>0</v>
      </c>
      <c r="L25" s="42">
        <f t="shared" si="3"/>
        <v>0</v>
      </c>
      <c r="M25" s="29" t="s">
        <v>315</v>
      </c>
    </row>
    <row r="26" s="2" customFormat="1" ht="60" spans="1:13">
      <c r="A26" s="24">
        <v>12</v>
      </c>
      <c r="B26" s="113" t="s">
        <v>247</v>
      </c>
      <c r="C26" s="71" t="s">
        <v>248</v>
      </c>
      <c r="D26" s="196" t="s">
        <v>249</v>
      </c>
      <c r="E26" s="116" t="s">
        <v>175</v>
      </c>
      <c r="F26" s="106">
        <v>615.66</v>
      </c>
      <c r="G26" s="29"/>
      <c r="H26" s="29"/>
      <c r="I26" s="42">
        <f>SUM(G26:H26)*$I$4</f>
        <v>0</v>
      </c>
      <c r="J26" s="42">
        <f>SUM(G26:I26)*$J$4</f>
        <v>0</v>
      </c>
      <c r="K26" s="42">
        <f t="shared" si="2"/>
        <v>0</v>
      </c>
      <c r="L26" s="42">
        <f t="shared" si="3"/>
        <v>0</v>
      </c>
      <c r="M26" s="29" t="s">
        <v>250</v>
      </c>
    </row>
    <row r="27" s="2" customFormat="1" ht="60" spans="1:13">
      <c r="A27" s="24">
        <v>13</v>
      </c>
      <c r="B27" s="113" t="s">
        <v>251</v>
      </c>
      <c r="C27" s="72" t="s">
        <v>252</v>
      </c>
      <c r="D27" s="196" t="s">
        <v>249</v>
      </c>
      <c r="E27" s="116" t="s">
        <v>175</v>
      </c>
      <c r="F27" s="106">
        <v>256.94</v>
      </c>
      <c r="G27" s="29"/>
      <c r="H27" s="29"/>
      <c r="I27" s="42">
        <f>SUM(G27:H27)*$I$4</f>
        <v>0</v>
      </c>
      <c r="J27" s="42">
        <f>SUM(G27:I27)*$J$4</f>
        <v>0</v>
      </c>
      <c r="K27" s="42">
        <f t="shared" si="2"/>
        <v>0</v>
      </c>
      <c r="L27" s="42">
        <f t="shared" si="3"/>
        <v>0</v>
      </c>
      <c r="M27" s="29" t="s">
        <v>253</v>
      </c>
    </row>
    <row r="28" s="336" customFormat="1" ht="25.05" customHeight="1" spans="1:13">
      <c r="A28" s="220" t="s">
        <v>254</v>
      </c>
      <c r="B28" s="221" t="s">
        <v>345</v>
      </c>
      <c r="C28" s="221"/>
      <c r="D28" s="222"/>
      <c r="E28" s="222"/>
      <c r="F28" s="222"/>
      <c r="G28" s="223"/>
      <c r="H28" s="224"/>
      <c r="I28" s="224"/>
      <c r="J28" s="224"/>
      <c r="K28" s="224"/>
      <c r="L28" s="231"/>
      <c r="M28" s="231"/>
    </row>
    <row r="29" s="2" customFormat="1" ht="84" spans="1:13">
      <c r="A29" s="24">
        <v>1</v>
      </c>
      <c r="B29" s="25" t="s">
        <v>256</v>
      </c>
      <c r="C29" s="118" t="s">
        <v>257</v>
      </c>
      <c r="D29" s="76" t="s">
        <v>197</v>
      </c>
      <c r="E29" s="66" t="s">
        <v>198</v>
      </c>
      <c r="F29" s="119">
        <v>5139.93</v>
      </c>
      <c r="G29" s="29"/>
      <c r="H29" s="29"/>
      <c r="I29" s="42">
        <f>SUM(G29:H29)*$I$4</f>
        <v>0</v>
      </c>
      <c r="J29" s="42">
        <f>SUM(G29:I29)*$J$4</f>
        <v>0</v>
      </c>
      <c r="K29" s="42">
        <f t="shared" ref="K29:K35" si="4">SUM(G29:J29)</f>
        <v>0</v>
      </c>
      <c r="L29" s="42">
        <f t="shared" ref="L29:L35" si="5">F29*K29</f>
        <v>0</v>
      </c>
      <c r="M29" s="29" t="s">
        <v>359</v>
      </c>
    </row>
    <row r="30" s="2" customFormat="1" ht="120" spans="1:13">
      <c r="A30" s="24">
        <v>2</v>
      </c>
      <c r="B30" s="25" t="s">
        <v>259</v>
      </c>
      <c r="C30" s="63" t="s">
        <v>322</v>
      </c>
      <c r="D30" s="76" t="s">
        <v>197</v>
      </c>
      <c r="E30" s="66" t="s">
        <v>198</v>
      </c>
      <c r="F30" s="119">
        <v>1795.6</v>
      </c>
      <c r="G30" s="29"/>
      <c r="H30" s="29"/>
      <c r="I30" s="42">
        <f>SUM(G30:H30)*$I$4</f>
        <v>0</v>
      </c>
      <c r="J30" s="42">
        <f>SUM(G30:I30)*$J$4</f>
        <v>0</v>
      </c>
      <c r="K30" s="42">
        <f t="shared" si="4"/>
        <v>0</v>
      </c>
      <c r="L30" s="42">
        <f t="shared" si="5"/>
        <v>0</v>
      </c>
      <c r="M30" s="29" t="s">
        <v>261</v>
      </c>
    </row>
    <row r="31" s="3" customFormat="1" ht="108" spans="1:13">
      <c r="A31" s="24">
        <v>3</v>
      </c>
      <c r="B31" s="308" t="s">
        <v>262</v>
      </c>
      <c r="C31" s="309" t="s">
        <v>263</v>
      </c>
      <c r="D31" s="188" t="s">
        <v>264</v>
      </c>
      <c r="E31" s="310" t="s">
        <v>265</v>
      </c>
      <c r="F31" s="119">
        <f>7+4*4</f>
        <v>23</v>
      </c>
      <c r="G31" s="29"/>
      <c r="H31" s="29"/>
      <c r="I31" s="42">
        <f>SUM(G31:H31)*$I$4</f>
        <v>0</v>
      </c>
      <c r="J31" s="42">
        <f>SUM(G31:I31)*$J$4</f>
        <v>0</v>
      </c>
      <c r="K31" s="42">
        <f t="shared" si="4"/>
        <v>0</v>
      </c>
      <c r="L31" s="42">
        <f t="shared" si="5"/>
        <v>0</v>
      </c>
      <c r="M31" s="29" t="s">
        <v>266</v>
      </c>
    </row>
    <row r="32" s="3" customFormat="1" ht="48" spans="1:13">
      <c r="A32" s="24">
        <v>6</v>
      </c>
      <c r="B32" s="271" t="s">
        <v>267</v>
      </c>
      <c r="C32" s="272" t="s">
        <v>268</v>
      </c>
      <c r="D32" s="212" t="s">
        <v>269</v>
      </c>
      <c r="E32" s="213" t="s">
        <v>211</v>
      </c>
      <c r="F32" s="119">
        <v>58.396</v>
      </c>
      <c r="G32" s="29"/>
      <c r="H32" s="29"/>
      <c r="I32" s="42">
        <f>SUM(G32:H32)*$I$4</f>
        <v>0</v>
      </c>
      <c r="J32" s="42">
        <f>SUM(G32:I32)*$J$4</f>
        <v>0</v>
      </c>
      <c r="K32" s="42">
        <f t="shared" si="4"/>
        <v>0</v>
      </c>
      <c r="L32" s="42">
        <f t="shared" si="5"/>
        <v>0</v>
      </c>
      <c r="M32" s="29" t="s">
        <v>270</v>
      </c>
    </row>
    <row r="33" s="2" customFormat="1" ht="60" spans="1:13">
      <c r="A33" s="24">
        <v>8</v>
      </c>
      <c r="B33" s="128" t="s">
        <v>271</v>
      </c>
      <c r="C33" s="129" t="s">
        <v>346</v>
      </c>
      <c r="D33" s="248" t="s">
        <v>273</v>
      </c>
      <c r="E33" s="131" t="s">
        <v>175</v>
      </c>
      <c r="F33" s="119">
        <v>189.12</v>
      </c>
      <c r="G33" s="29"/>
      <c r="H33" s="29"/>
      <c r="I33" s="42">
        <f>SUM(G33:H33)*$I$4</f>
        <v>0</v>
      </c>
      <c r="J33" s="42">
        <f>SUM(G33:I33)*$J$4</f>
        <v>0</v>
      </c>
      <c r="K33" s="42">
        <f t="shared" si="4"/>
        <v>0</v>
      </c>
      <c r="L33" s="42">
        <f t="shared" si="5"/>
        <v>0</v>
      </c>
      <c r="M33" s="29" t="s">
        <v>274</v>
      </c>
    </row>
    <row r="34" s="2" customFormat="1" ht="48" spans="1:13">
      <c r="A34" s="24">
        <v>9</v>
      </c>
      <c r="B34" s="128" t="s">
        <v>347</v>
      </c>
      <c r="C34" s="129" t="s">
        <v>348</v>
      </c>
      <c r="D34" s="248" t="s">
        <v>349</v>
      </c>
      <c r="E34" s="131" t="s">
        <v>198</v>
      </c>
      <c r="F34" s="119">
        <f>(1+0.5+0.5)*4.1*4</f>
        <v>32.8</v>
      </c>
      <c r="G34" s="29"/>
      <c r="H34" s="29"/>
      <c r="I34" s="42">
        <f>SUM(G34:H34)*$I$4</f>
        <v>0</v>
      </c>
      <c r="J34" s="42">
        <f>SUM(G34:I34)*$J$4</f>
        <v>0</v>
      </c>
      <c r="K34" s="42">
        <f t="shared" si="4"/>
        <v>0</v>
      </c>
      <c r="L34" s="42">
        <f t="shared" si="5"/>
        <v>0</v>
      </c>
      <c r="M34" s="29" t="s">
        <v>350</v>
      </c>
    </row>
    <row r="35" s="3" customFormat="1" ht="36" spans="1:13">
      <c r="A35" s="24">
        <v>16</v>
      </c>
      <c r="B35" s="337" t="s">
        <v>290</v>
      </c>
      <c r="C35" s="187" t="s">
        <v>291</v>
      </c>
      <c r="D35" s="272" t="s">
        <v>292</v>
      </c>
      <c r="E35" s="338" t="s">
        <v>138</v>
      </c>
      <c r="F35" s="206">
        <v>78</v>
      </c>
      <c r="G35" s="29"/>
      <c r="H35" s="29"/>
      <c r="I35" s="42">
        <f>SUM(G35:H35)*$I$4</f>
        <v>0</v>
      </c>
      <c r="J35" s="42">
        <f>SUM(G35:I35)*$J$4</f>
        <v>0</v>
      </c>
      <c r="K35" s="42">
        <f t="shared" si="4"/>
        <v>0</v>
      </c>
      <c r="L35" s="42">
        <f t="shared" si="5"/>
        <v>0</v>
      </c>
      <c r="M35" s="29"/>
    </row>
    <row r="36" s="334" customFormat="1" ht="25.05" customHeight="1" spans="1:13">
      <c r="A36" s="223" t="s">
        <v>293</v>
      </c>
      <c r="B36" s="221" t="s">
        <v>294</v>
      </c>
      <c r="C36" s="221"/>
      <c r="D36" s="222"/>
      <c r="E36" s="222"/>
      <c r="F36" s="222"/>
      <c r="G36" s="223"/>
      <c r="H36" s="224"/>
      <c r="I36" s="224"/>
      <c r="J36" s="224"/>
      <c r="K36" s="224"/>
      <c r="L36" s="231"/>
      <c r="M36" s="231"/>
    </row>
    <row r="37" s="3" customFormat="1" ht="25.95" customHeight="1" spans="1:13">
      <c r="A37" s="24">
        <v>2</v>
      </c>
      <c r="B37" s="27" t="s">
        <v>295</v>
      </c>
      <c r="C37" s="27" t="s">
        <v>296</v>
      </c>
      <c r="D37" s="27" t="s">
        <v>297</v>
      </c>
      <c r="E37" s="66" t="s">
        <v>198</v>
      </c>
      <c r="F37" s="119">
        <v>5768.87</v>
      </c>
      <c r="G37" s="29"/>
      <c r="H37" s="29"/>
      <c r="I37" s="42">
        <f>SUM(G37:H37)*$I$4</f>
        <v>0</v>
      </c>
      <c r="J37" s="42">
        <f>SUM(G37:I37)*$J$4</f>
        <v>0</v>
      </c>
      <c r="K37" s="42">
        <f>SUM(G37:J37)</f>
        <v>0</v>
      </c>
      <c r="L37" s="42">
        <f>F37*K37</f>
        <v>0</v>
      </c>
      <c r="M37" s="29" t="s">
        <v>298</v>
      </c>
    </row>
    <row r="38" s="3" customFormat="1" ht="25.95" customHeight="1" spans="1:13">
      <c r="A38" s="24">
        <v>3</v>
      </c>
      <c r="B38" s="27" t="s">
        <v>299</v>
      </c>
      <c r="C38" s="27" t="s">
        <v>300</v>
      </c>
      <c r="D38" s="27" t="s">
        <v>297</v>
      </c>
      <c r="E38" s="66" t="s">
        <v>198</v>
      </c>
      <c r="F38" s="119">
        <v>5768.87</v>
      </c>
      <c r="G38" s="29"/>
      <c r="H38" s="29"/>
      <c r="I38" s="42">
        <f>SUM(G38:H38)*$I$4</f>
        <v>0</v>
      </c>
      <c r="J38" s="42">
        <f>SUM(G38:I38)*$J$4</f>
        <v>0</v>
      </c>
      <c r="K38" s="42">
        <f>SUM(G38:J38)</f>
        <v>0</v>
      </c>
      <c r="L38" s="42">
        <f>F38*K38</f>
        <v>0</v>
      </c>
      <c r="M38" s="29" t="s">
        <v>301</v>
      </c>
    </row>
    <row r="39" s="3" customFormat="1" ht="25.95" customHeight="1" spans="1:13">
      <c r="A39" s="24">
        <v>4</v>
      </c>
      <c r="B39" s="27" t="s">
        <v>302</v>
      </c>
      <c r="C39" s="27" t="s">
        <v>302</v>
      </c>
      <c r="D39" s="27" t="s">
        <v>297</v>
      </c>
      <c r="E39" s="66" t="s">
        <v>198</v>
      </c>
      <c r="F39" s="119">
        <v>5768.87</v>
      </c>
      <c r="G39" s="29"/>
      <c r="H39" s="29"/>
      <c r="I39" s="42">
        <f>SUM(G39:H39)*$I$4</f>
        <v>0</v>
      </c>
      <c r="J39" s="42">
        <f>SUM(G39:I39)*$J$4</f>
        <v>0</v>
      </c>
      <c r="K39" s="42">
        <f>SUM(G39:J39)</f>
        <v>0</v>
      </c>
      <c r="L39" s="42">
        <f>F39*K39</f>
        <v>0</v>
      </c>
      <c r="M39" s="29" t="s">
        <v>303</v>
      </c>
    </row>
    <row r="40" ht="24.9" customHeight="1" spans="1:13">
      <c r="A40" s="24"/>
      <c r="B40" s="152" t="s">
        <v>63</v>
      </c>
      <c r="C40" s="152"/>
      <c r="D40" s="104"/>
      <c r="E40" s="104"/>
      <c r="F40" s="104"/>
      <c r="G40" s="66"/>
      <c r="H40" s="105"/>
      <c r="I40" s="105"/>
      <c r="J40" s="105"/>
      <c r="K40" s="105"/>
      <c r="L40" s="161">
        <f>SUM(L1:L39)</f>
        <v>0</v>
      </c>
      <c r="M40" s="105"/>
    </row>
    <row r="41" ht="20.1" customHeight="1" spans="1:7">
      <c r="A41" s="83"/>
      <c r="B41" s="83"/>
      <c r="C41" s="83"/>
      <c r="D41" s="83"/>
      <c r="E41" s="83"/>
      <c r="F41" s="83"/>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4" name="区域2_1_1_3_2_1"/>
  </protectedRanges>
  <autoFilter ref="A2:M40">
    <extLst/>
  </autoFilter>
  <mergeCells count="18">
    <mergeCell ref="A1:M1"/>
    <mergeCell ref="G2:J2"/>
    <mergeCell ref="B5:C5"/>
    <mergeCell ref="B15:C15"/>
    <mergeCell ref="B28:C28"/>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72"/>
  <sheetViews>
    <sheetView view="pageBreakPreview" zoomScale="90" zoomScaleNormal="100" workbookViewId="0">
      <pane ySplit="4" topLeftCell="A44" activePane="bottomLeft" state="frozen"/>
      <selection/>
      <selection pane="bottomLeft" activeCell="H46" sqref="H46"/>
    </sheetView>
  </sheetViews>
  <sheetFormatPr defaultColWidth="9" defaultRowHeight="14"/>
  <cols>
    <col min="1" max="1" width="5.66363636363636" style="47" customWidth="1"/>
    <col min="2" max="2" width="15.6636363636364" style="47" customWidth="1"/>
    <col min="3" max="3" width="26.4454545454545"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52" t="s">
        <v>360</v>
      </c>
      <c r="B1" s="52"/>
      <c r="C1" s="52"/>
      <c r="D1" s="52"/>
      <c r="E1" s="52"/>
      <c r="F1" s="52"/>
      <c r="G1" s="52"/>
      <c r="H1" s="52"/>
      <c r="I1" s="52"/>
      <c r="J1" s="52"/>
      <c r="K1" s="52"/>
      <c r="L1" s="52"/>
      <c r="M1" s="52"/>
    </row>
    <row r="2" ht="20.1" customHeight="1" spans="1:13">
      <c r="A2" s="288" t="s">
        <v>97</v>
      </c>
      <c r="B2" s="288" t="s">
        <v>182</v>
      </c>
      <c r="C2" s="288" t="s">
        <v>183</v>
      </c>
      <c r="D2" s="288" t="s">
        <v>184</v>
      </c>
      <c r="E2" s="288" t="s">
        <v>125</v>
      </c>
      <c r="F2" s="288" t="s">
        <v>185</v>
      </c>
      <c r="G2" s="288" t="s">
        <v>186</v>
      </c>
      <c r="H2" s="289"/>
      <c r="I2" s="288"/>
      <c r="J2" s="325"/>
      <c r="K2" s="326" t="s">
        <v>187</v>
      </c>
      <c r="L2" s="325" t="s">
        <v>188</v>
      </c>
      <c r="M2" s="288" t="s">
        <v>43</v>
      </c>
    </row>
    <row r="3" ht="20.1" customHeight="1" spans="1:13">
      <c r="A3" s="288"/>
      <c r="B3" s="288"/>
      <c r="C3" s="288"/>
      <c r="D3" s="288"/>
      <c r="E3" s="288"/>
      <c r="F3" s="288"/>
      <c r="G3" s="290" t="s">
        <v>189</v>
      </c>
      <c r="H3" s="291" t="s">
        <v>190</v>
      </c>
      <c r="I3" s="325" t="s">
        <v>191</v>
      </c>
      <c r="J3" s="325" t="s">
        <v>192</v>
      </c>
      <c r="K3" s="327"/>
      <c r="L3" s="325"/>
      <c r="M3" s="288"/>
    </row>
    <row r="4" ht="20.1" customHeight="1" spans="1:13">
      <c r="A4" s="288"/>
      <c r="B4" s="288"/>
      <c r="C4" s="288"/>
      <c r="D4" s="288"/>
      <c r="E4" s="288"/>
      <c r="F4" s="288"/>
      <c r="G4" s="288"/>
      <c r="H4" s="290"/>
      <c r="I4" s="328"/>
      <c r="J4" s="328"/>
      <c r="K4" s="329"/>
      <c r="L4" s="325"/>
      <c r="M4" s="288"/>
    </row>
    <row r="5" ht="24.9" customHeight="1" spans="1:13">
      <c r="A5" s="292" t="s">
        <v>193</v>
      </c>
      <c r="B5" s="293" t="s">
        <v>361</v>
      </c>
      <c r="C5" s="293"/>
      <c r="D5" s="294"/>
      <c r="E5" s="294"/>
      <c r="F5" s="294"/>
      <c r="G5" s="295"/>
      <c r="H5" s="296"/>
      <c r="I5" s="296"/>
      <c r="J5" s="296"/>
      <c r="K5" s="296"/>
      <c r="L5" s="330"/>
      <c r="M5" s="296"/>
    </row>
    <row r="6" s="2" customFormat="1" ht="108" spans="1:13">
      <c r="A6" s="24">
        <v>1</v>
      </c>
      <c r="B6" s="69" t="s">
        <v>362</v>
      </c>
      <c r="C6" s="63" t="s">
        <v>363</v>
      </c>
      <c r="D6" s="76" t="s">
        <v>197</v>
      </c>
      <c r="E6" s="28" t="s">
        <v>198</v>
      </c>
      <c r="F6" s="106">
        <v>2227.2</v>
      </c>
      <c r="G6" s="297"/>
      <c r="H6" s="297"/>
      <c r="I6" s="42">
        <f>SUM(G6:H6)*$I$4</f>
        <v>0</v>
      </c>
      <c r="J6" s="42">
        <f>SUM(G6:I6)*$J$4</f>
        <v>0</v>
      </c>
      <c r="K6" s="42">
        <f t="shared" ref="K6:K15" si="0">SUM(G6:J6)</f>
        <v>0</v>
      </c>
      <c r="L6" s="42">
        <f t="shared" ref="L6:L15" si="1">F6*K6</f>
        <v>0</v>
      </c>
      <c r="M6" s="29" t="s">
        <v>199</v>
      </c>
    </row>
    <row r="7" s="2" customFormat="1" ht="108" spans="1:13">
      <c r="A7" s="24">
        <v>2</v>
      </c>
      <c r="B7" s="69" t="s">
        <v>364</v>
      </c>
      <c r="C7" s="63" t="s">
        <v>365</v>
      </c>
      <c r="D7" s="76" t="s">
        <v>197</v>
      </c>
      <c r="E7" s="28" t="s">
        <v>198</v>
      </c>
      <c r="F7" s="106">
        <v>50.46</v>
      </c>
      <c r="G7" s="297"/>
      <c r="H7" s="297"/>
      <c r="I7" s="42">
        <f>SUM(G7:H7)*$I$4</f>
        <v>0</v>
      </c>
      <c r="J7" s="42">
        <f>SUM(G7:I7)*$J$4</f>
        <v>0</v>
      </c>
      <c r="K7" s="42">
        <f t="shared" si="0"/>
        <v>0</v>
      </c>
      <c r="L7" s="42">
        <f t="shared" si="1"/>
        <v>0</v>
      </c>
      <c r="M7" s="29" t="s">
        <v>199</v>
      </c>
    </row>
    <row r="8" s="2" customFormat="1" ht="108" spans="1:13">
      <c r="A8" s="24">
        <v>3</v>
      </c>
      <c r="B8" s="69" t="s">
        <v>366</v>
      </c>
      <c r="C8" s="63" t="s">
        <v>367</v>
      </c>
      <c r="D8" s="76" t="s">
        <v>330</v>
      </c>
      <c r="E8" s="28" t="s">
        <v>198</v>
      </c>
      <c r="F8" s="106">
        <v>508.2</v>
      </c>
      <c r="G8" s="297"/>
      <c r="H8" s="297"/>
      <c r="I8" s="42">
        <f>SUM(G8:H8)*$I$4</f>
        <v>0</v>
      </c>
      <c r="J8" s="42">
        <f>SUM(G8:I8)*$J$4</f>
        <v>0</v>
      </c>
      <c r="K8" s="42">
        <f t="shared" si="0"/>
        <v>0</v>
      </c>
      <c r="L8" s="42">
        <f t="shared" si="1"/>
        <v>0</v>
      </c>
      <c r="M8" s="29" t="s">
        <v>199</v>
      </c>
    </row>
    <row r="9" s="2" customFormat="1" ht="108" spans="1:13">
      <c r="A9" s="24">
        <v>4</v>
      </c>
      <c r="B9" s="69" t="s">
        <v>368</v>
      </c>
      <c r="C9" s="63" t="s">
        <v>369</v>
      </c>
      <c r="D9" s="76" t="s">
        <v>197</v>
      </c>
      <c r="E9" s="28" t="s">
        <v>198</v>
      </c>
      <c r="F9" s="106">
        <f>155.75-11</f>
        <v>144.75</v>
      </c>
      <c r="G9" s="297"/>
      <c r="H9" s="297"/>
      <c r="I9" s="42">
        <f>SUM(G9:H9)*$I$4</f>
        <v>0</v>
      </c>
      <c r="J9" s="42">
        <f>SUM(G9:I9)*$J$4</f>
        <v>0</v>
      </c>
      <c r="K9" s="42">
        <f t="shared" si="0"/>
        <v>0</v>
      </c>
      <c r="L9" s="42">
        <f t="shared" si="1"/>
        <v>0</v>
      </c>
      <c r="M9" s="29" t="s">
        <v>199</v>
      </c>
    </row>
    <row r="10" s="2" customFormat="1" ht="120" spans="1:13">
      <c r="A10" s="24">
        <v>5</v>
      </c>
      <c r="B10" s="69" t="s">
        <v>370</v>
      </c>
      <c r="C10" s="63" t="s">
        <v>371</v>
      </c>
      <c r="D10" s="76" t="s">
        <v>197</v>
      </c>
      <c r="E10" s="28" t="s">
        <v>198</v>
      </c>
      <c r="F10" s="106">
        <f>2*2+0.7*2*5</f>
        <v>11</v>
      </c>
      <c r="G10" s="297"/>
      <c r="H10" s="297"/>
      <c r="I10" s="42">
        <f>SUM(G10:H10)*$I$4</f>
        <v>0</v>
      </c>
      <c r="J10" s="42">
        <f>SUM(G10:I10)*$J$4</f>
        <v>0</v>
      </c>
      <c r="K10" s="42">
        <f t="shared" si="0"/>
        <v>0</v>
      </c>
      <c r="L10" s="42">
        <f t="shared" si="1"/>
        <v>0</v>
      </c>
      <c r="M10" s="29" t="s">
        <v>199</v>
      </c>
    </row>
    <row r="11" s="2" customFormat="1" ht="120" spans="1:13">
      <c r="A11" s="24">
        <v>6</v>
      </c>
      <c r="B11" s="69" t="s">
        <v>372</v>
      </c>
      <c r="C11" s="63" t="s">
        <v>373</v>
      </c>
      <c r="D11" s="76" t="s">
        <v>197</v>
      </c>
      <c r="E11" s="28" t="s">
        <v>198</v>
      </c>
      <c r="F11" s="106">
        <v>50.48</v>
      </c>
      <c r="G11" s="297"/>
      <c r="H11" s="297"/>
      <c r="I11" s="42">
        <f>SUM(G11:H11)*$I$4</f>
        <v>0</v>
      </c>
      <c r="J11" s="42">
        <f>SUM(G11:I11)*$J$4</f>
        <v>0</v>
      </c>
      <c r="K11" s="42">
        <f t="shared" si="0"/>
        <v>0</v>
      </c>
      <c r="L11" s="42">
        <f t="shared" si="1"/>
        <v>0</v>
      </c>
      <c r="M11" s="29" t="s">
        <v>374</v>
      </c>
    </row>
    <row r="12" s="2" customFormat="1" ht="84" spans="1:13">
      <c r="A12" s="24">
        <v>8</v>
      </c>
      <c r="B12" s="69" t="s">
        <v>219</v>
      </c>
      <c r="C12" s="63" t="s">
        <v>375</v>
      </c>
      <c r="D12" s="76" t="s">
        <v>197</v>
      </c>
      <c r="E12" s="28" t="s">
        <v>198</v>
      </c>
      <c r="F12" s="106">
        <v>20.62</v>
      </c>
      <c r="G12" s="297"/>
      <c r="H12" s="297"/>
      <c r="I12" s="42">
        <f>SUM(G12:H12)*$I$4</f>
        <v>0</v>
      </c>
      <c r="J12" s="42">
        <f>SUM(G12:I12)*$J$4</f>
        <v>0</v>
      </c>
      <c r="K12" s="42">
        <f t="shared" si="0"/>
        <v>0</v>
      </c>
      <c r="L12" s="42">
        <f t="shared" si="1"/>
        <v>0</v>
      </c>
      <c r="M12" s="29" t="s">
        <v>218</v>
      </c>
    </row>
    <row r="13" s="2" customFormat="1" ht="48" spans="1:13">
      <c r="A13" s="24">
        <v>9</v>
      </c>
      <c r="B13" s="63" t="s">
        <v>208</v>
      </c>
      <c r="C13" s="63" t="s">
        <v>334</v>
      </c>
      <c r="D13" s="63" t="s">
        <v>210</v>
      </c>
      <c r="E13" s="63" t="s">
        <v>211</v>
      </c>
      <c r="F13" s="106">
        <v>30.88</v>
      </c>
      <c r="G13" s="298"/>
      <c r="H13" s="299"/>
      <c r="I13" s="42">
        <f>SUM(G13:H13)*$I$4</f>
        <v>0</v>
      </c>
      <c r="J13" s="42">
        <f>SUM(G13:I13)*$J$4</f>
        <v>0</v>
      </c>
      <c r="K13" s="42">
        <f t="shared" si="0"/>
        <v>0</v>
      </c>
      <c r="L13" s="42">
        <f t="shared" si="1"/>
        <v>0</v>
      </c>
      <c r="M13" s="29" t="s">
        <v>212</v>
      </c>
    </row>
    <row r="14" s="2" customFormat="1" ht="36" spans="1:13">
      <c r="A14" s="24">
        <v>10</v>
      </c>
      <c r="B14" s="63" t="s">
        <v>213</v>
      </c>
      <c r="C14" s="63" t="s">
        <v>335</v>
      </c>
      <c r="D14" s="63" t="s">
        <v>215</v>
      </c>
      <c r="E14" s="63" t="s">
        <v>211</v>
      </c>
      <c r="F14" s="106">
        <v>30.88</v>
      </c>
      <c r="G14" s="298"/>
      <c r="H14" s="299"/>
      <c r="I14" s="42">
        <f>SUM(G14:H14)*$I$4</f>
        <v>0</v>
      </c>
      <c r="J14" s="42">
        <f>SUM(G14:I14)*$J$4</f>
        <v>0</v>
      </c>
      <c r="K14" s="42">
        <f t="shared" si="0"/>
        <v>0</v>
      </c>
      <c r="L14" s="42">
        <f t="shared" si="1"/>
        <v>0</v>
      </c>
      <c r="M14" s="29" t="s">
        <v>212</v>
      </c>
    </row>
    <row r="15" s="2" customFormat="1" ht="37.95" customHeight="1" spans="1:13">
      <c r="A15" s="24">
        <v>11</v>
      </c>
      <c r="B15" s="63" t="s">
        <v>221</v>
      </c>
      <c r="C15" s="63" t="s">
        <v>222</v>
      </c>
      <c r="D15" s="63" t="s">
        <v>223</v>
      </c>
      <c r="E15" s="63" t="s">
        <v>178</v>
      </c>
      <c r="F15" s="64">
        <f>(1.03+2.06*28)*6*0.4</f>
        <v>140.904</v>
      </c>
      <c r="G15" s="29"/>
      <c r="H15" s="29"/>
      <c r="I15" s="42">
        <f>SUM(G15:H15)*$I$4</f>
        <v>0</v>
      </c>
      <c r="J15" s="42">
        <f>SUM(G15:I15)*$J$4</f>
        <v>0</v>
      </c>
      <c r="K15" s="42">
        <f t="shared" si="0"/>
        <v>0</v>
      </c>
      <c r="L15" s="42">
        <f t="shared" si="1"/>
        <v>0</v>
      </c>
      <c r="M15" s="29" t="s">
        <v>224</v>
      </c>
    </row>
    <row r="16" s="2" customFormat="1" ht="24.9" customHeight="1" spans="1:13">
      <c r="A16" s="292" t="s">
        <v>225</v>
      </c>
      <c r="B16" s="293" t="s">
        <v>376</v>
      </c>
      <c r="C16" s="293"/>
      <c r="D16" s="300"/>
      <c r="E16" s="294"/>
      <c r="F16" s="294"/>
      <c r="G16" s="295"/>
      <c r="H16" s="296"/>
      <c r="I16" s="296"/>
      <c r="J16" s="296"/>
      <c r="K16" s="296"/>
      <c r="L16" s="330"/>
      <c r="M16" s="330"/>
    </row>
    <row r="17" s="2" customFormat="1" ht="108" spans="1:13">
      <c r="A17" s="24">
        <v>1</v>
      </c>
      <c r="B17" s="69" t="s">
        <v>364</v>
      </c>
      <c r="C17" s="63" t="s">
        <v>365</v>
      </c>
      <c r="D17" s="76" t="s">
        <v>197</v>
      </c>
      <c r="E17" s="28" t="s">
        <v>198</v>
      </c>
      <c r="F17" s="106">
        <f>22.09*339</f>
        <v>7488.51</v>
      </c>
      <c r="G17" s="297"/>
      <c r="H17" s="297"/>
      <c r="I17" s="42">
        <f>SUM(G17:H17)*$I$4</f>
        <v>0</v>
      </c>
      <c r="J17" s="42">
        <f>SUM(G17:I17)*$J$4</f>
        <v>0</v>
      </c>
      <c r="K17" s="42">
        <f>SUM(G17:J17)</f>
        <v>0</v>
      </c>
      <c r="L17" s="42">
        <f>F17*K17</f>
        <v>0</v>
      </c>
      <c r="M17" s="29" t="s">
        <v>199</v>
      </c>
    </row>
    <row r="18" s="2" customFormat="1" ht="108" spans="1:13">
      <c r="A18" s="24">
        <v>2</v>
      </c>
      <c r="B18" s="69" t="s">
        <v>377</v>
      </c>
      <c r="C18" s="63" t="s">
        <v>369</v>
      </c>
      <c r="D18" s="76" t="s">
        <v>197</v>
      </c>
      <c r="E18" s="28" t="s">
        <v>198</v>
      </c>
      <c r="F18" s="106">
        <f>1.14*339</f>
        <v>386.46</v>
      </c>
      <c r="G18" s="297"/>
      <c r="H18" s="297"/>
      <c r="I18" s="42">
        <f>SUM(G18:H18)*$I$4</f>
        <v>0</v>
      </c>
      <c r="J18" s="42">
        <f>SUM(G18:I18)*$J$4</f>
        <v>0</v>
      </c>
      <c r="K18" s="42">
        <f>SUM(G18:J18)</f>
        <v>0</v>
      </c>
      <c r="L18" s="42">
        <f>F18*K18</f>
        <v>0</v>
      </c>
      <c r="M18" s="29" t="s">
        <v>199</v>
      </c>
    </row>
    <row r="19" s="2" customFormat="1" ht="120" spans="1:13">
      <c r="A19" s="24">
        <v>3</v>
      </c>
      <c r="B19" s="69" t="s">
        <v>370</v>
      </c>
      <c r="C19" s="63" t="s">
        <v>371</v>
      </c>
      <c r="D19" s="76" t="s">
        <v>197</v>
      </c>
      <c r="E19" s="28" t="s">
        <v>198</v>
      </c>
      <c r="F19" s="106">
        <f>1.06*339</f>
        <v>359.34</v>
      </c>
      <c r="G19" s="297"/>
      <c r="H19" s="297"/>
      <c r="I19" s="42">
        <f>SUM(G19:H19)*$I$4</f>
        <v>0</v>
      </c>
      <c r="J19" s="42">
        <f>SUM(G19:I19)*$J$4</f>
        <v>0</v>
      </c>
      <c r="K19" s="42">
        <f>SUM(G19:J19)</f>
        <v>0</v>
      </c>
      <c r="L19" s="42">
        <f>F19*K19</f>
        <v>0</v>
      </c>
      <c r="M19" s="29" t="s">
        <v>199</v>
      </c>
    </row>
    <row r="20" s="2" customFormat="1" ht="84" spans="1:13">
      <c r="A20" s="24">
        <v>4</v>
      </c>
      <c r="B20" s="69" t="s">
        <v>219</v>
      </c>
      <c r="C20" s="63" t="s">
        <v>375</v>
      </c>
      <c r="D20" s="76" t="s">
        <v>197</v>
      </c>
      <c r="E20" s="28" t="s">
        <v>198</v>
      </c>
      <c r="F20" s="106">
        <f>(0.25+0.15)*339</f>
        <v>135.6</v>
      </c>
      <c r="G20" s="297"/>
      <c r="H20" s="297"/>
      <c r="I20" s="42">
        <f>SUM(G20:H20)*$I$4</f>
        <v>0</v>
      </c>
      <c r="J20" s="42">
        <f>SUM(G20:I20)*$J$4</f>
        <v>0</v>
      </c>
      <c r="K20" s="42">
        <f>SUM(G20:J20)</f>
        <v>0</v>
      </c>
      <c r="L20" s="42">
        <f>F20*K20</f>
        <v>0</v>
      </c>
      <c r="M20" s="29" t="s">
        <v>218</v>
      </c>
    </row>
    <row r="21" s="2" customFormat="1" ht="84" spans="1:13">
      <c r="A21" s="24">
        <v>5</v>
      </c>
      <c r="B21" s="69" t="s">
        <v>204</v>
      </c>
      <c r="C21" s="63" t="s">
        <v>378</v>
      </c>
      <c r="D21" s="76" t="s">
        <v>206</v>
      </c>
      <c r="E21" s="28" t="s">
        <v>175</v>
      </c>
      <c r="F21" s="106">
        <f>0.15*339</f>
        <v>50.85</v>
      </c>
      <c r="G21" s="297"/>
      <c r="H21" s="297"/>
      <c r="I21" s="42">
        <f>SUM(G21:H21)*$I$4</f>
        <v>0</v>
      </c>
      <c r="J21" s="42">
        <f>SUM(G21:I21)*$J$4</f>
        <v>0</v>
      </c>
      <c r="K21" s="42">
        <f>SUM(G21:J21)</f>
        <v>0</v>
      </c>
      <c r="L21" s="42">
        <f>F21*K21</f>
        <v>0</v>
      </c>
      <c r="M21" s="29" t="s">
        <v>207</v>
      </c>
    </row>
    <row r="22" s="2" customFormat="1" ht="24.9" customHeight="1" spans="1:13">
      <c r="A22" s="292" t="s">
        <v>254</v>
      </c>
      <c r="B22" s="293" t="s">
        <v>379</v>
      </c>
      <c r="C22" s="293"/>
      <c r="D22" s="300"/>
      <c r="E22" s="294"/>
      <c r="F22" s="294"/>
      <c r="G22" s="295"/>
      <c r="H22" s="296"/>
      <c r="I22" s="296"/>
      <c r="J22" s="296"/>
      <c r="K22" s="296"/>
      <c r="L22" s="330"/>
      <c r="M22" s="330"/>
    </row>
    <row r="23" s="2" customFormat="1" ht="252" spans="1:13">
      <c r="A23" s="24">
        <v>1</v>
      </c>
      <c r="B23" s="70" t="s">
        <v>380</v>
      </c>
      <c r="C23" s="70" t="s">
        <v>381</v>
      </c>
      <c r="D23" s="167" t="s">
        <v>233</v>
      </c>
      <c r="E23" s="28" t="s">
        <v>198</v>
      </c>
      <c r="F23" s="106">
        <f>632.7*1.15</f>
        <v>727.605</v>
      </c>
      <c r="G23" s="297"/>
      <c r="H23" s="297"/>
      <c r="I23" s="42">
        <f>SUM(G23:H23)*$I$4</f>
        <v>0</v>
      </c>
      <c r="J23" s="42">
        <f>SUM(G23:I23)*$J$4</f>
        <v>0</v>
      </c>
      <c r="K23" s="42">
        <f t="shared" ref="K23:K28" si="2">SUM(G23:J23)</f>
        <v>0</v>
      </c>
      <c r="L23" s="42">
        <f t="shared" ref="L23:L28" si="3">F23*K23</f>
        <v>0</v>
      </c>
      <c r="M23" s="29" t="s">
        <v>382</v>
      </c>
    </row>
    <row r="24" s="2" customFormat="1" ht="72" spans="1:13">
      <c r="A24" s="24">
        <v>2</v>
      </c>
      <c r="B24" s="70" t="s">
        <v>227</v>
      </c>
      <c r="C24" s="70" t="s">
        <v>228</v>
      </c>
      <c r="D24" s="189" t="s">
        <v>229</v>
      </c>
      <c r="E24" s="28" t="s">
        <v>198</v>
      </c>
      <c r="F24" s="106">
        <v>1599.92</v>
      </c>
      <c r="G24" s="297"/>
      <c r="H24" s="297"/>
      <c r="I24" s="42">
        <f>SUM(G24:H24)*$I$4</f>
        <v>0</v>
      </c>
      <c r="J24" s="42">
        <f>SUM(G24:I24)*$J$4</f>
        <v>0</v>
      </c>
      <c r="K24" s="42">
        <f t="shared" si="2"/>
        <v>0</v>
      </c>
      <c r="L24" s="42">
        <f t="shared" si="3"/>
        <v>0</v>
      </c>
      <c r="M24" s="29" t="s">
        <v>230</v>
      </c>
    </row>
    <row r="25" s="2" customFormat="1" ht="84" spans="1:13">
      <c r="A25" s="24">
        <v>3</v>
      </c>
      <c r="B25" s="70" t="s">
        <v>231</v>
      </c>
      <c r="C25" s="70" t="s">
        <v>232</v>
      </c>
      <c r="D25" s="167" t="s">
        <v>233</v>
      </c>
      <c r="E25" s="28" t="s">
        <v>198</v>
      </c>
      <c r="F25" s="64">
        <v>1711.9144</v>
      </c>
      <c r="G25" s="298"/>
      <c r="H25" s="299"/>
      <c r="I25" s="42">
        <f>SUM(G25:H25)*$I$4</f>
        <v>0</v>
      </c>
      <c r="J25" s="42">
        <f>SUM(G25:I25)*$J$4</f>
        <v>0</v>
      </c>
      <c r="K25" s="42">
        <f t="shared" si="2"/>
        <v>0</v>
      </c>
      <c r="L25" s="42">
        <f t="shared" si="3"/>
        <v>0</v>
      </c>
      <c r="M25" s="29" t="s">
        <v>234</v>
      </c>
    </row>
    <row r="26" s="97" customFormat="1" ht="96" spans="1:14">
      <c r="A26" s="301">
        <v>6</v>
      </c>
      <c r="B26" s="302" t="s">
        <v>383</v>
      </c>
      <c r="C26" s="303" t="s">
        <v>384</v>
      </c>
      <c r="D26" s="304" t="s">
        <v>330</v>
      </c>
      <c r="E26" s="305" t="s">
        <v>198</v>
      </c>
      <c r="F26" s="306">
        <v>1050.88</v>
      </c>
      <c r="G26" s="307"/>
      <c r="H26" s="307"/>
      <c r="I26" s="331">
        <f>SUM(G26:H26)*$I$4</f>
        <v>0</v>
      </c>
      <c r="J26" s="331">
        <f>SUM(G26:I26)*$J$4</f>
        <v>0</v>
      </c>
      <c r="K26" s="331">
        <f t="shared" si="2"/>
        <v>0</v>
      </c>
      <c r="L26" s="331">
        <f t="shared" si="3"/>
        <v>0</v>
      </c>
      <c r="M26" s="307" t="s">
        <v>385</v>
      </c>
      <c r="N26" s="2"/>
    </row>
    <row r="27" s="2" customFormat="1" ht="54" customHeight="1" spans="1:13">
      <c r="A27" s="24">
        <v>7</v>
      </c>
      <c r="B27" s="113" t="s">
        <v>247</v>
      </c>
      <c r="C27" s="71" t="s">
        <v>386</v>
      </c>
      <c r="D27" s="196" t="s">
        <v>249</v>
      </c>
      <c r="E27" s="116" t="s">
        <v>175</v>
      </c>
      <c r="F27" s="106">
        <v>28.7</v>
      </c>
      <c r="G27" s="297"/>
      <c r="H27" s="297"/>
      <c r="I27" s="42">
        <f>SUM(G27:H27)*$I$4</f>
        <v>0</v>
      </c>
      <c r="J27" s="42">
        <f>SUM(G27:I27)*$J$4</f>
        <v>0</v>
      </c>
      <c r="K27" s="42">
        <f t="shared" si="2"/>
        <v>0</v>
      </c>
      <c r="L27" s="42">
        <f t="shared" si="3"/>
        <v>0</v>
      </c>
      <c r="M27" s="29" t="s">
        <v>250</v>
      </c>
    </row>
    <row r="28" s="2" customFormat="1" ht="67.05" customHeight="1" spans="1:13">
      <c r="A28" s="24">
        <v>9</v>
      </c>
      <c r="B28" s="113" t="s">
        <v>251</v>
      </c>
      <c r="C28" s="72" t="s">
        <v>252</v>
      </c>
      <c r="D28" s="196" t="s">
        <v>249</v>
      </c>
      <c r="E28" s="116" t="s">
        <v>175</v>
      </c>
      <c r="F28" s="106">
        <v>35</v>
      </c>
      <c r="G28" s="297"/>
      <c r="H28" s="297"/>
      <c r="I28" s="42">
        <f>SUM(G28:H28)*$I$4</f>
        <v>0</v>
      </c>
      <c r="J28" s="42">
        <f>SUM(G28:I28)*$J$4</f>
        <v>0</v>
      </c>
      <c r="K28" s="42">
        <f t="shared" si="2"/>
        <v>0</v>
      </c>
      <c r="L28" s="42">
        <f t="shared" si="3"/>
        <v>0</v>
      </c>
      <c r="M28" s="29" t="s">
        <v>253</v>
      </c>
    </row>
    <row r="29" s="2" customFormat="1" ht="24.9" customHeight="1" spans="1:13">
      <c r="A29" s="292" t="s">
        <v>293</v>
      </c>
      <c r="B29" s="293" t="s">
        <v>387</v>
      </c>
      <c r="C29" s="293"/>
      <c r="D29" s="300"/>
      <c r="E29" s="294"/>
      <c r="F29" s="294"/>
      <c r="G29" s="295"/>
      <c r="H29" s="296"/>
      <c r="I29" s="296"/>
      <c r="J29" s="296"/>
      <c r="K29" s="296"/>
      <c r="L29" s="330"/>
      <c r="M29" s="330"/>
    </row>
    <row r="30" s="2" customFormat="1" ht="252" spans="1:13">
      <c r="A30" s="24">
        <v>1</v>
      </c>
      <c r="B30" s="70" t="s">
        <v>380</v>
      </c>
      <c r="C30" s="70" t="s">
        <v>381</v>
      </c>
      <c r="D30" s="167" t="s">
        <v>233</v>
      </c>
      <c r="E30" s="28" t="s">
        <v>198</v>
      </c>
      <c r="F30" s="106">
        <f>16.28*339</f>
        <v>5518.92</v>
      </c>
      <c r="G30" s="297"/>
      <c r="H30" s="297"/>
      <c r="I30" s="42">
        <f>SUM(G30:H30)*$I$4</f>
        <v>0</v>
      </c>
      <c r="J30" s="42">
        <f>SUM(G30:I30)*$J$4</f>
        <v>0</v>
      </c>
      <c r="K30" s="42">
        <f>SUM(G30:J30)</f>
        <v>0</v>
      </c>
      <c r="L30" s="42">
        <f>F30*K30</f>
        <v>0</v>
      </c>
      <c r="M30" s="29" t="s">
        <v>382</v>
      </c>
    </row>
    <row r="31" s="2" customFormat="1" ht="60" spans="1:13">
      <c r="A31" s="24">
        <v>2</v>
      </c>
      <c r="B31" s="70" t="s">
        <v>235</v>
      </c>
      <c r="C31" s="70" t="s">
        <v>353</v>
      </c>
      <c r="D31" s="189" t="s">
        <v>229</v>
      </c>
      <c r="E31" s="28" t="s">
        <v>198</v>
      </c>
      <c r="F31" s="106">
        <f>1.25*339</f>
        <v>423.75</v>
      </c>
      <c r="G31" s="297"/>
      <c r="H31" s="297"/>
      <c r="I31" s="42">
        <f>SUM(G31:H31)*$I$4</f>
        <v>0</v>
      </c>
      <c r="J31" s="42">
        <f>SUM(G31:I31)*$J$4</f>
        <v>0</v>
      </c>
      <c r="K31" s="42">
        <f>SUM(G31:J31)</f>
        <v>0</v>
      </c>
      <c r="L31" s="42">
        <f>F31*K31</f>
        <v>0</v>
      </c>
      <c r="M31" s="29" t="s">
        <v>230</v>
      </c>
    </row>
    <row r="32" s="2" customFormat="1" ht="96" spans="1:13">
      <c r="A32" s="24">
        <v>3</v>
      </c>
      <c r="B32" s="113" t="s">
        <v>237</v>
      </c>
      <c r="C32" s="114" t="s">
        <v>238</v>
      </c>
      <c r="D32" s="167" t="s">
        <v>233</v>
      </c>
      <c r="E32" s="116" t="s">
        <v>211</v>
      </c>
      <c r="F32" s="106">
        <f>F31*1.07</f>
        <v>453.4125</v>
      </c>
      <c r="G32" s="297"/>
      <c r="H32" s="297"/>
      <c r="I32" s="42">
        <f>SUM(G32:H32)*$I$4</f>
        <v>0</v>
      </c>
      <c r="J32" s="42">
        <f>SUM(G32:I32)*$J$4</f>
        <v>0</v>
      </c>
      <c r="K32" s="42">
        <f>SUM(G32:J32)</f>
        <v>0</v>
      </c>
      <c r="L32" s="42">
        <f>F32*K32</f>
        <v>0</v>
      </c>
      <c r="M32" s="29" t="s">
        <v>230</v>
      </c>
    </row>
    <row r="33" s="2" customFormat="1" ht="24.9" customHeight="1" spans="1:13">
      <c r="A33" s="292" t="s">
        <v>388</v>
      </c>
      <c r="B33" s="293" t="s">
        <v>389</v>
      </c>
      <c r="C33" s="293"/>
      <c r="D33" s="300"/>
      <c r="E33" s="294"/>
      <c r="F33" s="294"/>
      <c r="G33" s="295"/>
      <c r="H33" s="296"/>
      <c r="I33" s="296"/>
      <c r="J33" s="296"/>
      <c r="K33" s="296"/>
      <c r="L33" s="330"/>
      <c r="M33" s="330"/>
    </row>
    <row r="34" s="2" customFormat="1" ht="79.5" customHeight="1" spans="1:13">
      <c r="A34" s="24">
        <v>1</v>
      </c>
      <c r="B34" s="25" t="s">
        <v>256</v>
      </c>
      <c r="C34" s="118" t="s">
        <v>257</v>
      </c>
      <c r="D34" s="76" t="s">
        <v>197</v>
      </c>
      <c r="E34" s="28" t="s">
        <v>198</v>
      </c>
      <c r="F34" s="119">
        <f>2090.33-30.34</f>
        <v>2059.99</v>
      </c>
      <c r="G34" s="297"/>
      <c r="H34" s="297"/>
      <c r="I34" s="42">
        <f>SUM(G34:H34)*$I$4</f>
        <v>0</v>
      </c>
      <c r="J34" s="42">
        <f>SUM(G34:I34)*$J$4</f>
        <v>0</v>
      </c>
      <c r="K34" s="42">
        <f t="shared" ref="K34:K41" si="4">SUM(G34:J34)</f>
        <v>0</v>
      </c>
      <c r="L34" s="42">
        <f t="shared" ref="L34:L41" si="5">F34*K34</f>
        <v>0</v>
      </c>
      <c r="M34" s="29" t="s">
        <v>258</v>
      </c>
    </row>
    <row r="35" s="2" customFormat="1" ht="108" spans="1:13">
      <c r="A35" s="24">
        <v>2</v>
      </c>
      <c r="B35" s="285" t="s">
        <v>390</v>
      </c>
      <c r="C35" s="63" t="s">
        <v>391</v>
      </c>
      <c r="D35" s="76" t="s">
        <v>197</v>
      </c>
      <c r="E35" s="28" t="s">
        <v>175</v>
      </c>
      <c r="F35" s="119">
        <v>689.41</v>
      </c>
      <c r="G35" s="297"/>
      <c r="H35" s="297"/>
      <c r="I35" s="42">
        <f>SUM(G35:H35)*$I$4</f>
        <v>0</v>
      </c>
      <c r="J35" s="42">
        <f>SUM(G35:I35)*$J$4</f>
        <v>0</v>
      </c>
      <c r="K35" s="42">
        <f t="shared" si="4"/>
        <v>0</v>
      </c>
      <c r="L35" s="42">
        <f t="shared" si="5"/>
        <v>0</v>
      </c>
      <c r="M35" s="29" t="s">
        <v>199</v>
      </c>
    </row>
    <row r="36" s="2" customFormat="1" ht="108" spans="1:13">
      <c r="A36" s="24">
        <v>3</v>
      </c>
      <c r="B36" s="285" t="s">
        <v>392</v>
      </c>
      <c r="C36" s="63" t="s">
        <v>391</v>
      </c>
      <c r="D36" s="76" t="s">
        <v>197</v>
      </c>
      <c r="E36" s="28" t="s">
        <v>198</v>
      </c>
      <c r="F36" s="119">
        <v>227.21</v>
      </c>
      <c r="G36" s="297"/>
      <c r="H36" s="297"/>
      <c r="I36" s="42">
        <f>SUM(G36:H36)*$I$4</f>
        <v>0</v>
      </c>
      <c r="J36" s="42">
        <f>SUM(G36:I36)*$J$4</f>
        <v>0</v>
      </c>
      <c r="K36" s="42">
        <f t="shared" si="4"/>
        <v>0</v>
      </c>
      <c r="L36" s="42">
        <f t="shared" si="5"/>
        <v>0</v>
      </c>
      <c r="M36" s="29" t="s">
        <v>199</v>
      </c>
    </row>
    <row r="37" s="2" customFormat="1" ht="108" spans="1:13">
      <c r="A37" s="24">
        <v>4</v>
      </c>
      <c r="B37" s="285" t="s">
        <v>393</v>
      </c>
      <c r="C37" s="63" t="s">
        <v>391</v>
      </c>
      <c r="D37" s="76" t="s">
        <v>197</v>
      </c>
      <c r="E37" s="28" t="s">
        <v>198</v>
      </c>
      <c r="F37" s="119">
        <v>3360.8</v>
      </c>
      <c r="G37" s="297"/>
      <c r="H37" s="297"/>
      <c r="I37" s="42">
        <f>SUM(G37:H37)*$I$4</f>
        <v>0</v>
      </c>
      <c r="J37" s="42">
        <f>SUM(G37:I37)*$J$4</f>
        <v>0</v>
      </c>
      <c r="K37" s="42">
        <f t="shared" si="4"/>
        <v>0</v>
      </c>
      <c r="L37" s="42">
        <f t="shared" si="5"/>
        <v>0</v>
      </c>
      <c r="M37" s="29" t="s">
        <v>199</v>
      </c>
    </row>
    <row r="38" s="3" customFormat="1" ht="78" customHeight="1" spans="1:13">
      <c r="A38" s="24">
        <v>7</v>
      </c>
      <c r="B38" s="308" t="s">
        <v>262</v>
      </c>
      <c r="C38" s="309" t="s">
        <v>263</v>
      </c>
      <c r="D38" s="186" t="s">
        <v>264</v>
      </c>
      <c r="E38" s="310" t="s">
        <v>265</v>
      </c>
      <c r="F38" s="119">
        <f>38+4</f>
        <v>42</v>
      </c>
      <c r="G38" s="297"/>
      <c r="H38" s="297"/>
      <c r="I38" s="42">
        <f>SUM(G38:H38)*$I$4</f>
        <v>0</v>
      </c>
      <c r="J38" s="42">
        <f>SUM(G38:I38)*$J$4</f>
        <v>0</v>
      </c>
      <c r="K38" s="42">
        <f t="shared" si="4"/>
        <v>0</v>
      </c>
      <c r="L38" s="42">
        <f t="shared" si="5"/>
        <v>0</v>
      </c>
      <c r="M38" s="29" t="s">
        <v>266</v>
      </c>
    </row>
    <row r="39" s="2" customFormat="1" ht="96" spans="1:13">
      <c r="A39" s="24">
        <v>8</v>
      </c>
      <c r="B39" s="73" t="s">
        <v>394</v>
      </c>
      <c r="C39" s="63" t="s">
        <v>395</v>
      </c>
      <c r="D39" s="76" t="s">
        <v>396</v>
      </c>
      <c r="E39" s="28" t="s">
        <v>175</v>
      </c>
      <c r="F39" s="119">
        <f>63.4+491.52*1.15</f>
        <v>628.648</v>
      </c>
      <c r="G39" s="297"/>
      <c r="H39" s="297"/>
      <c r="I39" s="42">
        <f>SUM(G39:H39)*$I$4</f>
        <v>0</v>
      </c>
      <c r="J39" s="42">
        <f>SUM(G39:I39)*$J$4</f>
        <v>0</v>
      </c>
      <c r="K39" s="42">
        <f t="shared" si="4"/>
        <v>0</v>
      </c>
      <c r="L39" s="42">
        <f t="shared" si="5"/>
        <v>0</v>
      </c>
      <c r="M39" s="29" t="s">
        <v>199</v>
      </c>
    </row>
    <row r="40" s="2" customFormat="1" ht="96" spans="1:13">
      <c r="A40" s="202">
        <v>9</v>
      </c>
      <c r="B40" s="311" t="s">
        <v>397</v>
      </c>
      <c r="C40" s="312" t="s">
        <v>398</v>
      </c>
      <c r="D40" s="313" t="s">
        <v>396</v>
      </c>
      <c r="E40" s="314" t="s">
        <v>175</v>
      </c>
      <c r="F40" s="315">
        <f>73.95</f>
        <v>73.95</v>
      </c>
      <c r="G40" s="316"/>
      <c r="H40" s="316"/>
      <c r="I40" s="332">
        <f>SUM(G40:H40)*$I$4</f>
        <v>0</v>
      </c>
      <c r="J40" s="332">
        <f>SUM(G40:I40)*$J$4</f>
        <v>0</v>
      </c>
      <c r="K40" s="332">
        <f t="shared" si="4"/>
        <v>0</v>
      </c>
      <c r="L40" s="332">
        <f t="shared" si="5"/>
        <v>0</v>
      </c>
      <c r="M40" s="29" t="s">
        <v>399</v>
      </c>
    </row>
    <row r="41" s="2" customFormat="1" ht="48" spans="1:13">
      <c r="A41" s="24">
        <v>10</v>
      </c>
      <c r="B41" s="273" t="s">
        <v>400</v>
      </c>
      <c r="C41" s="274" t="s">
        <v>348</v>
      </c>
      <c r="D41" s="286" t="s">
        <v>349</v>
      </c>
      <c r="E41" s="131" t="s">
        <v>198</v>
      </c>
      <c r="F41" s="119">
        <f>6*0.45*6</f>
        <v>16.2</v>
      </c>
      <c r="G41" s="297"/>
      <c r="H41" s="297"/>
      <c r="I41" s="42">
        <f>SUM(G41:H41)*$I$4</f>
        <v>0</v>
      </c>
      <c r="J41" s="42">
        <f>SUM(G41:I41)*$J$4</f>
        <v>0</v>
      </c>
      <c r="K41" s="42">
        <f t="shared" si="4"/>
        <v>0</v>
      </c>
      <c r="L41" s="42">
        <f t="shared" si="5"/>
        <v>0</v>
      </c>
      <c r="M41" s="29" t="s">
        <v>401</v>
      </c>
    </row>
    <row r="42" s="2" customFormat="1" ht="24.9" customHeight="1" spans="1:13">
      <c r="A42" s="292" t="s">
        <v>402</v>
      </c>
      <c r="B42" s="293" t="s">
        <v>403</v>
      </c>
      <c r="C42" s="293"/>
      <c r="D42" s="300"/>
      <c r="E42" s="294"/>
      <c r="F42" s="294"/>
      <c r="G42" s="295"/>
      <c r="H42" s="296"/>
      <c r="I42" s="296"/>
      <c r="J42" s="296"/>
      <c r="K42" s="296"/>
      <c r="L42" s="330"/>
      <c r="M42" s="330"/>
    </row>
    <row r="43" s="2" customFormat="1" ht="79.5" customHeight="1" spans="1:13">
      <c r="A43" s="24">
        <v>1</v>
      </c>
      <c r="B43" s="25" t="s">
        <v>256</v>
      </c>
      <c r="C43" s="118" t="s">
        <v>257</v>
      </c>
      <c r="D43" s="76" t="s">
        <v>197</v>
      </c>
      <c r="E43" s="28" t="s">
        <v>198</v>
      </c>
      <c r="F43" s="119">
        <f>51.86*339</f>
        <v>17580.54</v>
      </c>
      <c r="G43" s="297"/>
      <c r="H43" s="297"/>
      <c r="I43" s="42">
        <f>SUM(G43:H43)*$I$4</f>
        <v>0</v>
      </c>
      <c r="J43" s="42">
        <f>SUM(G43:I43)*$J$4</f>
        <v>0</v>
      </c>
      <c r="K43" s="42">
        <f>SUM(G43:J43)</f>
        <v>0</v>
      </c>
      <c r="L43" s="42">
        <f>F43*K43</f>
        <v>0</v>
      </c>
      <c r="M43" s="29" t="s">
        <v>258</v>
      </c>
    </row>
    <row r="44" s="2" customFormat="1" ht="108" spans="1:13">
      <c r="A44" s="24">
        <v>2</v>
      </c>
      <c r="B44" s="285" t="s">
        <v>404</v>
      </c>
      <c r="C44" s="63" t="s">
        <v>391</v>
      </c>
      <c r="D44" s="76" t="s">
        <v>197</v>
      </c>
      <c r="E44" s="28" t="s">
        <v>175</v>
      </c>
      <c r="F44" s="119">
        <f>7.77*339</f>
        <v>2634.03</v>
      </c>
      <c r="G44" s="297"/>
      <c r="H44" s="297"/>
      <c r="I44" s="42">
        <f>SUM(G44:H44)*$I$4</f>
        <v>0</v>
      </c>
      <c r="J44" s="42">
        <f>SUM(G44:I44)*$J$4</f>
        <v>0</v>
      </c>
      <c r="K44" s="42">
        <f>SUM(G44:J44)</f>
        <v>0</v>
      </c>
      <c r="L44" s="42">
        <f>F44*K44</f>
        <v>0</v>
      </c>
      <c r="M44" s="29" t="s">
        <v>199</v>
      </c>
    </row>
    <row r="45" s="2" customFormat="1" ht="108" spans="1:13">
      <c r="A45" s="24">
        <v>3</v>
      </c>
      <c r="B45" s="285" t="s">
        <v>392</v>
      </c>
      <c r="C45" s="63" t="s">
        <v>391</v>
      </c>
      <c r="D45" s="76" t="s">
        <v>197</v>
      </c>
      <c r="E45" s="28" t="s">
        <v>198</v>
      </c>
      <c r="F45" s="119">
        <f>16*339</f>
        <v>5424</v>
      </c>
      <c r="G45" s="297"/>
      <c r="H45" s="297"/>
      <c r="I45" s="42">
        <f>SUM(G45:H45)*$I$4</f>
        <v>0</v>
      </c>
      <c r="J45" s="42">
        <f>SUM(G45:I45)*$J$4</f>
        <v>0</v>
      </c>
      <c r="K45" s="42">
        <f>SUM(G45:J45)</f>
        <v>0</v>
      </c>
      <c r="L45" s="42">
        <f>F45*K45</f>
        <v>0</v>
      </c>
      <c r="M45" s="29" t="s">
        <v>199</v>
      </c>
    </row>
    <row r="46" s="2" customFormat="1" ht="96" spans="1:13">
      <c r="A46" s="202">
        <v>4</v>
      </c>
      <c r="B46" s="311" t="s">
        <v>397</v>
      </c>
      <c r="C46" s="312" t="s">
        <v>398</v>
      </c>
      <c r="D46" s="313" t="s">
        <v>396</v>
      </c>
      <c r="E46" s="314" t="s">
        <v>175</v>
      </c>
      <c r="F46" s="315">
        <f>14.04*339</f>
        <v>4759.56</v>
      </c>
      <c r="G46" s="316"/>
      <c r="H46" s="316"/>
      <c r="I46" s="332">
        <f>SUM(G46:H46)*$I$4</f>
        <v>0</v>
      </c>
      <c r="J46" s="332">
        <f>SUM(G46:I46)*$J$4</f>
        <v>0</v>
      </c>
      <c r="K46" s="332">
        <f>SUM(G46:J46)</f>
        <v>0</v>
      </c>
      <c r="L46" s="332">
        <f>F46*K46</f>
        <v>0</v>
      </c>
      <c r="M46" s="29" t="s">
        <v>399</v>
      </c>
    </row>
    <row r="47" s="3" customFormat="1" ht="72" spans="1:14">
      <c r="A47" s="202">
        <v>7</v>
      </c>
      <c r="B47" s="317" t="s">
        <v>405</v>
      </c>
      <c r="C47" s="318" t="s">
        <v>406</v>
      </c>
      <c r="D47" s="318" t="s">
        <v>407</v>
      </c>
      <c r="E47" s="319" t="s">
        <v>175</v>
      </c>
      <c r="F47" s="315">
        <f>(2.3*2+1.2)*339</f>
        <v>1966.2</v>
      </c>
      <c r="G47" s="316"/>
      <c r="H47" s="316"/>
      <c r="I47" s="332">
        <f>SUM(G47:H47)*$I$4</f>
        <v>0</v>
      </c>
      <c r="J47" s="332">
        <f>SUM(G47:I47)*$J$4</f>
        <v>0</v>
      </c>
      <c r="K47" s="332">
        <f>SUM(G47:J47)</f>
        <v>0</v>
      </c>
      <c r="L47" s="332">
        <f>F47*K47</f>
        <v>0</v>
      </c>
      <c r="M47" s="29" t="s">
        <v>408</v>
      </c>
      <c r="N47" s="2"/>
    </row>
    <row r="48" ht="24.9" customHeight="1" spans="1:13">
      <c r="A48" s="295" t="s">
        <v>409</v>
      </c>
      <c r="B48" s="293" t="s">
        <v>294</v>
      </c>
      <c r="C48" s="293"/>
      <c r="D48" s="294"/>
      <c r="E48" s="294"/>
      <c r="F48" s="294"/>
      <c r="G48" s="295"/>
      <c r="H48" s="296"/>
      <c r="I48" s="296"/>
      <c r="J48" s="296"/>
      <c r="K48" s="296"/>
      <c r="L48" s="330"/>
      <c r="M48" s="330"/>
    </row>
    <row r="49" s="3" customFormat="1" ht="24" customHeight="1" spans="1:13">
      <c r="A49" s="24">
        <v>2</v>
      </c>
      <c r="B49" s="27" t="s">
        <v>295</v>
      </c>
      <c r="C49" s="27" t="s">
        <v>296</v>
      </c>
      <c r="D49" s="27" t="s">
        <v>297</v>
      </c>
      <c r="E49" s="28" t="s">
        <v>198</v>
      </c>
      <c r="F49" s="119">
        <v>11464.35</v>
      </c>
      <c r="G49" s="297"/>
      <c r="H49" s="297"/>
      <c r="I49" s="42">
        <f>SUM(G49:H49)*$I$4</f>
        <v>0</v>
      </c>
      <c r="J49" s="42">
        <f>SUM(G49:I49)*$J$4</f>
        <v>0</v>
      </c>
      <c r="K49" s="42">
        <f>SUM(G49:J49)</f>
        <v>0</v>
      </c>
      <c r="L49" s="42">
        <f>F49*K49</f>
        <v>0</v>
      </c>
      <c r="M49" s="29" t="s">
        <v>298</v>
      </c>
    </row>
    <row r="50" s="3" customFormat="1" ht="24" customHeight="1" spans="1:13">
      <c r="A50" s="24">
        <v>3</v>
      </c>
      <c r="B50" s="27" t="s">
        <v>299</v>
      </c>
      <c r="C50" s="27" t="s">
        <v>300</v>
      </c>
      <c r="D50" s="27" t="s">
        <v>297</v>
      </c>
      <c r="E50" s="28" t="s">
        <v>198</v>
      </c>
      <c r="F50" s="119">
        <f>F49</f>
        <v>11464.35</v>
      </c>
      <c r="G50" s="297"/>
      <c r="H50" s="297"/>
      <c r="I50" s="42">
        <f>SUM(G50:H50)*$I$4</f>
        <v>0</v>
      </c>
      <c r="J50" s="42">
        <f>SUM(G50:I50)*$J$4</f>
        <v>0</v>
      </c>
      <c r="K50" s="42">
        <f>SUM(G50:J50)</f>
        <v>0</v>
      </c>
      <c r="L50" s="42">
        <f>F50*K50</f>
        <v>0</v>
      </c>
      <c r="M50" s="29" t="s">
        <v>301</v>
      </c>
    </row>
    <row r="51" s="3" customFormat="1" ht="22.05" customHeight="1" spans="1:13">
      <c r="A51" s="24">
        <v>4</v>
      </c>
      <c r="B51" s="27" t="s">
        <v>302</v>
      </c>
      <c r="C51" s="27" t="s">
        <v>302</v>
      </c>
      <c r="D51" s="27" t="s">
        <v>297</v>
      </c>
      <c r="E51" s="28" t="s">
        <v>198</v>
      </c>
      <c r="F51" s="119">
        <f>F50</f>
        <v>11464.35</v>
      </c>
      <c r="G51" s="297"/>
      <c r="H51" s="297"/>
      <c r="I51" s="42">
        <f>SUM(G51:H51)*$I$4</f>
        <v>0</v>
      </c>
      <c r="J51" s="42">
        <f>SUM(G51:I51)*$J$4</f>
        <v>0</v>
      </c>
      <c r="K51" s="42">
        <f>SUM(G51:J51)</f>
        <v>0</v>
      </c>
      <c r="L51" s="42">
        <f>F51*K51</f>
        <v>0</v>
      </c>
      <c r="M51" s="29" t="s">
        <v>303</v>
      </c>
    </row>
    <row r="52" ht="24.9" customHeight="1" spans="1:13">
      <c r="A52" s="320"/>
      <c r="B52" s="321" t="s">
        <v>63</v>
      </c>
      <c r="C52" s="321"/>
      <c r="D52" s="322"/>
      <c r="E52" s="322"/>
      <c r="F52" s="322"/>
      <c r="G52" s="323"/>
      <c r="H52" s="324"/>
      <c r="I52" s="324"/>
      <c r="J52" s="324"/>
      <c r="K52" s="324"/>
      <c r="L52" s="333">
        <f>SUM(L5:L51)</f>
        <v>0</v>
      </c>
      <c r="M52" s="324"/>
    </row>
    <row r="53" ht="20.1" customHeight="1" spans="1:7">
      <c r="A53" s="83"/>
      <c r="B53" s="83"/>
      <c r="C53" s="83"/>
      <c r="D53" s="83"/>
      <c r="E53" s="83"/>
      <c r="F53" s="83"/>
      <c r="G53" s="83"/>
    </row>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sheetData>
  <protectedRanges>
    <protectedRange sqref="B15" name="区域2_1_1_3_2_1"/>
  </protectedRanges>
  <autoFilter ref="A2:M52">
    <extLst/>
  </autoFilter>
  <mergeCells count="21">
    <mergeCell ref="A1:M1"/>
    <mergeCell ref="G2:J2"/>
    <mergeCell ref="B5:C5"/>
    <mergeCell ref="B16:C16"/>
    <mergeCell ref="B22:C22"/>
    <mergeCell ref="B29:C29"/>
    <mergeCell ref="B33:C33"/>
    <mergeCell ref="B42:C42"/>
    <mergeCell ref="B48:C48"/>
    <mergeCell ref="B52:C52"/>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77"/>
  <sheetViews>
    <sheetView view="pageBreakPreview" zoomScale="90" zoomScaleNormal="100" workbookViewId="0">
      <pane ySplit="4" topLeftCell="A52" activePane="bottomLeft" state="frozen"/>
      <selection/>
      <selection pane="bottomLeft" activeCell="K60" sqref="K60"/>
    </sheetView>
  </sheetViews>
  <sheetFormatPr defaultColWidth="9" defaultRowHeight="14"/>
  <cols>
    <col min="1" max="1" width="5.66363636363636" style="47" customWidth="1"/>
    <col min="2" max="2" width="15.6636363636364" style="47" customWidth="1"/>
    <col min="3" max="3" width="25.1090909090909"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52" t="s">
        <v>114</v>
      </c>
      <c r="B1" s="52"/>
      <c r="C1" s="52"/>
      <c r="D1" s="52"/>
      <c r="E1" s="52"/>
      <c r="F1" s="52"/>
      <c r="G1" s="52"/>
      <c r="H1" s="52"/>
      <c r="I1" s="52"/>
      <c r="J1" s="52"/>
      <c r="K1" s="52"/>
      <c r="L1" s="52"/>
      <c r="M1" s="52"/>
    </row>
    <row r="2" ht="20.1" customHeight="1" spans="1:13">
      <c r="A2" s="55" t="s">
        <v>97</v>
      </c>
      <c r="B2" s="55" t="s">
        <v>182</v>
      </c>
      <c r="C2" s="55" t="s">
        <v>183</v>
      </c>
      <c r="D2" s="55" t="s">
        <v>184</v>
      </c>
      <c r="E2" s="55" t="s">
        <v>125</v>
      </c>
      <c r="F2" s="55" t="s">
        <v>185</v>
      </c>
      <c r="G2" s="55" t="s">
        <v>186</v>
      </c>
      <c r="H2" s="57"/>
      <c r="I2" s="55"/>
      <c r="J2" s="56"/>
      <c r="K2" s="56" t="s">
        <v>187</v>
      </c>
      <c r="L2" s="56" t="s">
        <v>188</v>
      </c>
      <c r="M2" s="55" t="s">
        <v>43</v>
      </c>
    </row>
    <row r="3" ht="20.1" customHeight="1" spans="1:13">
      <c r="A3" s="55"/>
      <c r="B3" s="55"/>
      <c r="C3" s="55"/>
      <c r="D3" s="55"/>
      <c r="E3" s="55"/>
      <c r="F3" s="55"/>
      <c r="G3" s="55" t="s">
        <v>189</v>
      </c>
      <c r="H3" s="55" t="s">
        <v>190</v>
      </c>
      <c r="I3" s="56" t="s">
        <v>191</v>
      </c>
      <c r="J3" s="56" t="s">
        <v>192</v>
      </c>
      <c r="K3" s="56"/>
      <c r="L3" s="56"/>
      <c r="M3" s="55"/>
    </row>
    <row r="4" ht="20.1" customHeight="1" spans="1:13">
      <c r="A4" s="55"/>
      <c r="B4" s="55"/>
      <c r="C4" s="55"/>
      <c r="D4" s="55"/>
      <c r="E4" s="55"/>
      <c r="F4" s="55"/>
      <c r="G4" s="55"/>
      <c r="H4" s="55"/>
      <c r="I4" s="88"/>
      <c r="J4" s="88"/>
      <c r="K4" s="56"/>
      <c r="L4" s="56"/>
      <c r="M4" s="55"/>
    </row>
    <row r="5" ht="24.9" customHeight="1" spans="1:13">
      <c r="A5" s="58" t="s">
        <v>193</v>
      </c>
      <c r="B5" s="59" t="s">
        <v>361</v>
      </c>
      <c r="C5" s="59"/>
      <c r="D5" s="60"/>
      <c r="E5" s="60"/>
      <c r="F5" s="60"/>
      <c r="G5" s="61"/>
      <c r="H5" s="62"/>
      <c r="I5" s="62"/>
      <c r="J5" s="62"/>
      <c r="K5" s="62"/>
      <c r="L5" s="89"/>
      <c r="M5" s="62"/>
    </row>
    <row r="6" s="2" customFormat="1" ht="120" spans="1:13">
      <c r="A6" s="24">
        <v>1</v>
      </c>
      <c r="B6" s="69" t="s">
        <v>362</v>
      </c>
      <c r="C6" s="63" t="s">
        <v>363</v>
      </c>
      <c r="D6" s="27" t="s">
        <v>197</v>
      </c>
      <c r="E6" s="28" t="s">
        <v>198</v>
      </c>
      <c r="F6" s="106">
        <v>2188.23</v>
      </c>
      <c r="G6" s="65"/>
      <c r="H6" s="65"/>
      <c r="I6" s="42">
        <f>SUM(G6:H6)*$I$4</f>
        <v>0</v>
      </c>
      <c r="J6" s="42">
        <f>SUM(G6:I6)*$J$4</f>
        <v>0</v>
      </c>
      <c r="K6" s="42">
        <f t="shared" ref="K6:K15" si="0">SUM(G6:J6)</f>
        <v>0</v>
      </c>
      <c r="L6" s="42">
        <f t="shared" ref="L6:L15" si="1">F6*K6</f>
        <v>0</v>
      </c>
      <c r="M6" s="29" t="s">
        <v>410</v>
      </c>
    </row>
    <row r="7" s="2" customFormat="1" ht="120" spans="1:13">
      <c r="A7" s="24">
        <v>2</v>
      </c>
      <c r="B7" s="69" t="s">
        <v>364</v>
      </c>
      <c r="C7" s="63" t="s">
        <v>365</v>
      </c>
      <c r="D7" s="27" t="s">
        <v>197</v>
      </c>
      <c r="E7" s="28" t="s">
        <v>198</v>
      </c>
      <c r="F7" s="106">
        <v>60.46</v>
      </c>
      <c r="G7" s="65"/>
      <c r="H7" s="65"/>
      <c r="I7" s="42">
        <f>SUM(G7:H7)*$I$4</f>
        <v>0</v>
      </c>
      <c r="J7" s="42">
        <f>SUM(G7:I7)*$J$4</f>
        <v>0</v>
      </c>
      <c r="K7" s="42">
        <f t="shared" si="0"/>
        <v>0</v>
      </c>
      <c r="L7" s="42">
        <f t="shared" si="1"/>
        <v>0</v>
      </c>
      <c r="M7" s="29" t="s">
        <v>410</v>
      </c>
    </row>
    <row r="8" s="2" customFormat="1" ht="120" spans="1:13">
      <c r="A8" s="24">
        <v>3</v>
      </c>
      <c r="B8" s="69" t="s">
        <v>366</v>
      </c>
      <c r="C8" s="63" t="s">
        <v>367</v>
      </c>
      <c r="D8" s="27" t="s">
        <v>330</v>
      </c>
      <c r="E8" s="28" t="s">
        <v>198</v>
      </c>
      <c r="F8" s="106">
        <v>629.18</v>
      </c>
      <c r="G8" s="65"/>
      <c r="H8" s="65"/>
      <c r="I8" s="42">
        <f>SUM(G8:H8)*$I$4</f>
        <v>0</v>
      </c>
      <c r="J8" s="42">
        <f>SUM(G8:I8)*$J$4</f>
        <v>0</v>
      </c>
      <c r="K8" s="42">
        <f t="shared" si="0"/>
        <v>0</v>
      </c>
      <c r="L8" s="42">
        <f t="shared" si="1"/>
        <v>0</v>
      </c>
      <c r="M8" s="29" t="s">
        <v>410</v>
      </c>
    </row>
    <row r="9" s="2" customFormat="1" ht="120" spans="1:13">
      <c r="A9" s="24">
        <v>4</v>
      </c>
      <c r="B9" s="69" t="s">
        <v>368</v>
      </c>
      <c r="C9" s="63" t="s">
        <v>369</v>
      </c>
      <c r="D9" s="27" t="s">
        <v>197</v>
      </c>
      <c r="E9" s="28" t="s">
        <v>198</v>
      </c>
      <c r="F9" s="106">
        <f>186.56-11</f>
        <v>175.56</v>
      </c>
      <c r="G9" s="65"/>
      <c r="H9" s="65"/>
      <c r="I9" s="42">
        <f>SUM(G9:H9)*$I$4</f>
        <v>0</v>
      </c>
      <c r="J9" s="42">
        <f>SUM(G9:I9)*$J$4</f>
        <v>0</v>
      </c>
      <c r="K9" s="42">
        <f t="shared" si="0"/>
        <v>0</v>
      </c>
      <c r="L9" s="42">
        <f t="shared" si="1"/>
        <v>0</v>
      </c>
      <c r="M9" s="29" t="s">
        <v>410</v>
      </c>
    </row>
    <row r="10" s="2" customFormat="1" ht="132" spans="1:13">
      <c r="A10" s="24">
        <v>5</v>
      </c>
      <c r="B10" s="69" t="s">
        <v>370</v>
      </c>
      <c r="C10" s="63" t="s">
        <v>371</v>
      </c>
      <c r="D10" s="27" t="s">
        <v>197</v>
      </c>
      <c r="E10" s="28" t="s">
        <v>198</v>
      </c>
      <c r="F10" s="106">
        <f>2*2+0.7*2*5</f>
        <v>11</v>
      </c>
      <c r="G10" s="65"/>
      <c r="H10" s="65"/>
      <c r="I10" s="42">
        <f>SUM(G10:H10)*$I$4</f>
        <v>0</v>
      </c>
      <c r="J10" s="42">
        <f>SUM(G10:I10)*$J$4</f>
        <v>0</v>
      </c>
      <c r="K10" s="42">
        <f t="shared" si="0"/>
        <v>0</v>
      </c>
      <c r="L10" s="42">
        <f t="shared" si="1"/>
        <v>0</v>
      </c>
      <c r="M10" s="29" t="s">
        <v>410</v>
      </c>
    </row>
    <row r="11" s="2" customFormat="1" ht="120" spans="1:13">
      <c r="A11" s="24">
        <v>6</v>
      </c>
      <c r="B11" s="69" t="s">
        <v>372</v>
      </c>
      <c r="C11" s="63" t="s">
        <v>411</v>
      </c>
      <c r="D11" s="27" t="s">
        <v>197</v>
      </c>
      <c r="E11" s="28" t="s">
        <v>198</v>
      </c>
      <c r="F11" s="106">
        <v>50.49</v>
      </c>
      <c r="G11" s="65"/>
      <c r="H11" s="65"/>
      <c r="I11" s="42">
        <f>SUM(G11:H11)*$I$4</f>
        <v>0</v>
      </c>
      <c r="J11" s="42">
        <f>SUM(G11:I11)*$J$4</f>
        <v>0</v>
      </c>
      <c r="K11" s="42">
        <f t="shared" si="0"/>
        <v>0</v>
      </c>
      <c r="L11" s="42">
        <f t="shared" si="1"/>
        <v>0</v>
      </c>
      <c r="M11" s="91" t="s">
        <v>412</v>
      </c>
    </row>
    <row r="12" s="2" customFormat="1" ht="96" spans="1:13">
      <c r="A12" s="24">
        <v>8</v>
      </c>
      <c r="B12" s="69" t="s">
        <v>219</v>
      </c>
      <c r="C12" s="63" t="s">
        <v>375</v>
      </c>
      <c r="D12" s="27" t="s">
        <v>197</v>
      </c>
      <c r="E12" s="28" t="s">
        <v>198</v>
      </c>
      <c r="F12" s="106">
        <v>22.24</v>
      </c>
      <c r="G12" s="65"/>
      <c r="H12" s="65"/>
      <c r="I12" s="42">
        <f>SUM(G12:H12)*$I$4</f>
        <v>0</v>
      </c>
      <c r="J12" s="42">
        <f>SUM(G12:I12)*$J$4</f>
        <v>0</v>
      </c>
      <c r="K12" s="42">
        <f t="shared" si="0"/>
        <v>0</v>
      </c>
      <c r="L12" s="42">
        <f t="shared" si="1"/>
        <v>0</v>
      </c>
      <c r="M12" s="29" t="s">
        <v>413</v>
      </c>
    </row>
    <row r="13" s="2" customFormat="1" ht="48" spans="1:13">
      <c r="A13" s="24">
        <v>9</v>
      </c>
      <c r="B13" s="63" t="s">
        <v>208</v>
      </c>
      <c r="C13" s="63" t="s">
        <v>334</v>
      </c>
      <c r="D13" s="63" t="s">
        <v>210</v>
      </c>
      <c r="E13" s="63" t="s">
        <v>211</v>
      </c>
      <c r="F13" s="106" t="e">
        <f>#REF!</f>
        <v>#REF!</v>
      </c>
      <c r="G13" s="278"/>
      <c r="H13" s="279"/>
      <c r="I13" s="42">
        <f>SUM(G13:H13)*$I$4</f>
        <v>0</v>
      </c>
      <c r="J13" s="42">
        <f>SUM(G13:I13)*$J$4</f>
        <v>0</v>
      </c>
      <c r="K13" s="42">
        <f t="shared" si="0"/>
        <v>0</v>
      </c>
      <c r="L13" s="42" t="e">
        <f t="shared" si="1"/>
        <v>#REF!</v>
      </c>
      <c r="M13" s="29" t="s">
        <v>212</v>
      </c>
    </row>
    <row r="14" s="2" customFormat="1" ht="48" spans="1:13">
      <c r="A14" s="24">
        <v>10</v>
      </c>
      <c r="B14" s="63" t="s">
        <v>213</v>
      </c>
      <c r="C14" s="63" t="s">
        <v>335</v>
      </c>
      <c r="D14" s="63" t="s">
        <v>215</v>
      </c>
      <c r="E14" s="63" t="s">
        <v>211</v>
      </c>
      <c r="F14" s="106" t="e">
        <f>F13</f>
        <v>#REF!</v>
      </c>
      <c r="G14" s="278"/>
      <c r="H14" s="279"/>
      <c r="I14" s="42">
        <f>SUM(G14:H14)*$I$4</f>
        <v>0</v>
      </c>
      <c r="J14" s="42">
        <f>SUM(G14:I14)*$J$4</f>
        <v>0</v>
      </c>
      <c r="K14" s="42">
        <f t="shared" si="0"/>
        <v>0</v>
      </c>
      <c r="L14" s="42" t="e">
        <f t="shared" si="1"/>
        <v>#REF!</v>
      </c>
      <c r="M14" s="29" t="s">
        <v>212</v>
      </c>
    </row>
    <row r="15" s="2" customFormat="1" ht="37.95" customHeight="1" spans="1:13">
      <c r="A15" s="24">
        <v>11</v>
      </c>
      <c r="B15" s="63" t="s">
        <v>221</v>
      </c>
      <c r="C15" s="63" t="s">
        <v>222</v>
      </c>
      <c r="D15" s="63" t="s">
        <v>223</v>
      </c>
      <c r="E15" s="63" t="s">
        <v>178</v>
      </c>
      <c r="F15" s="64">
        <f>24.75*2*6*0.4</f>
        <v>118.8</v>
      </c>
      <c r="G15" s="29"/>
      <c r="H15" s="29"/>
      <c r="I15" s="42">
        <f>SUM(G15:H15)*$I$4</f>
        <v>0</v>
      </c>
      <c r="J15" s="42">
        <f>SUM(G15:I15)*$J$4</f>
        <v>0</v>
      </c>
      <c r="K15" s="42">
        <f t="shared" si="0"/>
        <v>0</v>
      </c>
      <c r="L15" s="42">
        <f t="shared" si="1"/>
        <v>0</v>
      </c>
      <c r="M15" s="29" t="s">
        <v>224</v>
      </c>
    </row>
    <row r="16" s="2" customFormat="1" ht="24.9" customHeight="1" spans="1:13">
      <c r="A16" s="58" t="s">
        <v>225</v>
      </c>
      <c r="B16" s="59" t="s">
        <v>376</v>
      </c>
      <c r="C16" s="59"/>
      <c r="D16" s="60"/>
      <c r="E16" s="60"/>
      <c r="F16" s="60"/>
      <c r="G16" s="61"/>
      <c r="H16" s="62"/>
      <c r="I16" s="62"/>
      <c r="J16" s="62"/>
      <c r="K16" s="62"/>
      <c r="L16" s="89"/>
      <c r="M16" s="62"/>
    </row>
    <row r="17" s="2" customFormat="1" ht="120" spans="1:13">
      <c r="A17" s="24">
        <v>1</v>
      </c>
      <c r="B17" s="69" t="s">
        <v>364</v>
      </c>
      <c r="C17" s="63" t="s">
        <v>365</v>
      </c>
      <c r="D17" s="27" t="s">
        <v>197</v>
      </c>
      <c r="E17" s="28" t="s">
        <v>198</v>
      </c>
      <c r="F17" s="106">
        <f>67.71*108+21.83*16</f>
        <v>7661.96</v>
      </c>
      <c r="G17" s="65"/>
      <c r="H17" s="65"/>
      <c r="I17" s="42">
        <f>SUM(G17:H17)*$I$4</f>
        <v>0</v>
      </c>
      <c r="J17" s="42">
        <f>SUM(G17:I17)*$J$4</f>
        <v>0</v>
      </c>
      <c r="K17" s="42">
        <f>SUM(G17:J17)</f>
        <v>0</v>
      </c>
      <c r="L17" s="42">
        <f t="shared" ref="L17:L21" si="2">F17*K17</f>
        <v>0</v>
      </c>
      <c r="M17" s="29" t="s">
        <v>410</v>
      </c>
    </row>
    <row r="18" s="2" customFormat="1" ht="120" spans="1:13">
      <c r="A18" s="24">
        <v>2</v>
      </c>
      <c r="B18" s="69" t="s">
        <v>377</v>
      </c>
      <c r="C18" s="63" t="s">
        <v>369</v>
      </c>
      <c r="D18" s="27" t="s">
        <v>197</v>
      </c>
      <c r="E18" s="28" t="s">
        <v>198</v>
      </c>
      <c r="F18" s="106">
        <f>12.73*108+4.73*16-245.16</f>
        <v>1205.36</v>
      </c>
      <c r="G18" s="65"/>
      <c r="H18" s="65"/>
      <c r="I18" s="42">
        <f>SUM(G18:H18)*$I$4</f>
        <v>0</v>
      </c>
      <c r="J18" s="42">
        <f>SUM(G18:I18)*$J$4</f>
        <v>0</v>
      </c>
      <c r="K18" s="42">
        <f>SUM(G18:J18)</f>
        <v>0</v>
      </c>
      <c r="L18" s="42">
        <f t="shared" si="2"/>
        <v>0</v>
      </c>
      <c r="M18" s="29" t="s">
        <v>410</v>
      </c>
    </row>
    <row r="19" s="2" customFormat="1" ht="132" spans="1:13">
      <c r="A19" s="24">
        <v>3</v>
      </c>
      <c r="B19" s="69" t="s">
        <v>370</v>
      </c>
      <c r="C19" s="63" t="s">
        <v>371</v>
      </c>
      <c r="D19" s="27" t="s">
        <v>197</v>
      </c>
      <c r="E19" s="28" t="s">
        <v>198</v>
      </c>
      <c r="F19" s="106">
        <f>2.27*108</f>
        <v>245.16</v>
      </c>
      <c r="G19" s="65"/>
      <c r="H19" s="65"/>
      <c r="I19" s="42">
        <f>SUM(G19:H19)*$I$4</f>
        <v>0</v>
      </c>
      <c r="J19" s="42">
        <f>SUM(G19:I19)*$J$4</f>
        <v>0</v>
      </c>
      <c r="K19" s="42">
        <f>SUM(G19:J19)</f>
        <v>0</v>
      </c>
      <c r="L19" s="42">
        <f t="shared" si="2"/>
        <v>0</v>
      </c>
      <c r="M19" s="29" t="s">
        <v>410</v>
      </c>
    </row>
    <row r="20" s="2" customFormat="1" ht="96" spans="1:13">
      <c r="A20" s="24">
        <v>4</v>
      </c>
      <c r="B20" s="69" t="s">
        <v>219</v>
      </c>
      <c r="C20" s="63" t="s">
        <v>375</v>
      </c>
      <c r="D20" s="27" t="s">
        <v>197</v>
      </c>
      <c r="E20" s="28" t="s">
        <v>198</v>
      </c>
      <c r="F20" s="106">
        <f>1.28*108+0.64*16</f>
        <v>148.48</v>
      </c>
      <c r="G20" s="65"/>
      <c r="H20" s="65"/>
      <c r="I20" s="42">
        <f>SUM(G20:H20)*$I$4</f>
        <v>0</v>
      </c>
      <c r="J20" s="42">
        <f>SUM(G20:I20)*$J$4</f>
        <v>0</v>
      </c>
      <c r="K20" s="42">
        <f>SUM(G20:J20)</f>
        <v>0</v>
      </c>
      <c r="L20" s="42">
        <f t="shared" si="2"/>
        <v>0</v>
      </c>
      <c r="M20" s="29" t="s">
        <v>414</v>
      </c>
    </row>
    <row r="21" s="2" customFormat="1" ht="96" spans="1:13">
      <c r="A21" s="24">
        <v>5</v>
      </c>
      <c r="B21" s="69" t="s">
        <v>204</v>
      </c>
      <c r="C21" s="63" t="s">
        <v>378</v>
      </c>
      <c r="D21" s="27" t="s">
        <v>206</v>
      </c>
      <c r="E21" s="28" t="s">
        <v>175</v>
      </c>
      <c r="F21" s="106">
        <f>0.21*108</f>
        <v>22.68</v>
      </c>
      <c r="G21" s="65"/>
      <c r="H21" s="65"/>
      <c r="I21" s="42">
        <f>SUM(G21:H21)*$I$4</f>
        <v>0</v>
      </c>
      <c r="J21" s="42">
        <f>SUM(G21:I21)*$J$4</f>
        <v>0</v>
      </c>
      <c r="K21" s="42">
        <f>SUM(G21:J21)</f>
        <v>0</v>
      </c>
      <c r="L21" s="42">
        <f t="shared" si="2"/>
        <v>0</v>
      </c>
      <c r="M21" s="29" t="s">
        <v>415</v>
      </c>
    </row>
    <row r="22" s="2" customFormat="1" ht="24.9" customHeight="1" spans="1:13">
      <c r="A22" s="58" t="s">
        <v>254</v>
      </c>
      <c r="B22" s="59" t="s">
        <v>379</v>
      </c>
      <c r="C22" s="59"/>
      <c r="D22" s="60"/>
      <c r="E22" s="60"/>
      <c r="F22" s="60"/>
      <c r="G22" s="61"/>
      <c r="H22" s="62"/>
      <c r="I22" s="62"/>
      <c r="J22" s="62"/>
      <c r="K22" s="62"/>
      <c r="L22" s="89"/>
      <c r="M22" s="62"/>
    </row>
    <row r="23" s="2" customFormat="1" ht="264" spans="1:13">
      <c r="A23" s="24">
        <v>1</v>
      </c>
      <c r="B23" s="70" t="s">
        <v>380</v>
      </c>
      <c r="C23" s="70" t="s">
        <v>381</v>
      </c>
      <c r="D23" s="167" t="s">
        <v>233</v>
      </c>
      <c r="E23" s="28" t="s">
        <v>198</v>
      </c>
      <c r="F23" s="106">
        <f>719.74*1.15</f>
        <v>827.701</v>
      </c>
      <c r="G23" s="65"/>
      <c r="H23" s="65"/>
      <c r="I23" s="42">
        <f>SUM(G23:H23)*$I$4</f>
        <v>0</v>
      </c>
      <c r="J23" s="42">
        <f>SUM(G23:I23)*$J$4</f>
        <v>0</v>
      </c>
      <c r="K23" s="42">
        <f t="shared" ref="K23:K28" si="3">SUM(G23:J23)</f>
        <v>0</v>
      </c>
      <c r="L23" s="42">
        <f t="shared" ref="L23:L28" si="4">F23*K23</f>
        <v>0</v>
      </c>
      <c r="M23" s="29" t="s">
        <v>416</v>
      </c>
    </row>
    <row r="24" s="2" customFormat="1" ht="84" spans="1:13">
      <c r="A24" s="24">
        <v>2</v>
      </c>
      <c r="B24" s="70" t="s">
        <v>227</v>
      </c>
      <c r="C24" s="70" t="s">
        <v>417</v>
      </c>
      <c r="D24" s="189" t="s">
        <v>229</v>
      </c>
      <c r="E24" s="28" t="s">
        <v>198</v>
      </c>
      <c r="F24" s="106">
        <v>1630.82</v>
      </c>
      <c r="G24" s="65"/>
      <c r="H24" s="65"/>
      <c r="I24" s="42">
        <f>SUM(G24:H24)*$I$4</f>
        <v>0</v>
      </c>
      <c r="J24" s="42">
        <f>SUM(G24:I24)*$J$4</f>
        <v>0</v>
      </c>
      <c r="K24" s="42">
        <f t="shared" si="3"/>
        <v>0</v>
      </c>
      <c r="L24" s="42">
        <f t="shared" si="4"/>
        <v>0</v>
      </c>
      <c r="M24" s="91" t="s">
        <v>418</v>
      </c>
    </row>
    <row r="25" s="2" customFormat="1" ht="96" spans="1:13">
      <c r="A25" s="24">
        <v>3</v>
      </c>
      <c r="B25" s="70" t="s">
        <v>231</v>
      </c>
      <c r="C25" s="70" t="s">
        <v>232</v>
      </c>
      <c r="D25" s="167" t="s">
        <v>233</v>
      </c>
      <c r="E25" s="28" t="s">
        <v>198</v>
      </c>
      <c r="F25" s="64">
        <f>F24*1.07</f>
        <v>1744.9774</v>
      </c>
      <c r="G25" s="278"/>
      <c r="H25" s="279"/>
      <c r="I25" s="42">
        <f>SUM(G25:H25)*$I$4</f>
        <v>0</v>
      </c>
      <c r="J25" s="42">
        <f>SUM(G25:I25)*$J$4</f>
        <v>0</v>
      </c>
      <c r="K25" s="42">
        <f t="shared" si="3"/>
        <v>0</v>
      </c>
      <c r="L25" s="42">
        <f t="shared" si="4"/>
        <v>0</v>
      </c>
      <c r="M25" s="29" t="s">
        <v>419</v>
      </c>
    </row>
    <row r="26" s="97" customFormat="1" ht="108" spans="1:13">
      <c r="A26" s="132">
        <v>6</v>
      </c>
      <c r="B26" s="280" t="s">
        <v>383</v>
      </c>
      <c r="C26" s="281" t="s">
        <v>384</v>
      </c>
      <c r="D26" s="282" t="s">
        <v>330</v>
      </c>
      <c r="E26" s="233" t="s">
        <v>198</v>
      </c>
      <c r="F26" s="179">
        <v>1063.74</v>
      </c>
      <c r="G26" s="138"/>
      <c r="H26" s="138"/>
      <c r="I26" s="159">
        <f>SUM(G26:H26)*$I$4</f>
        <v>0</v>
      </c>
      <c r="J26" s="159">
        <f>SUM(G26:I26)*$J$4</f>
        <v>0</v>
      </c>
      <c r="K26" s="159">
        <f t="shared" si="3"/>
        <v>0</v>
      </c>
      <c r="L26" s="159">
        <f t="shared" si="4"/>
        <v>0</v>
      </c>
      <c r="M26" s="241" t="s">
        <v>420</v>
      </c>
    </row>
    <row r="27" s="2" customFormat="1" ht="54" customHeight="1" spans="1:13">
      <c r="A27" s="24">
        <v>7</v>
      </c>
      <c r="B27" s="113" t="s">
        <v>247</v>
      </c>
      <c r="C27" s="71" t="s">
        <v>248</v>
      </c>
      <c r="D27" s="196" t="s">
        <v>249</v>
      </c>
      <c r="E27" s="116" t="s">
        <v>175</v>
      </c>
      <c r="F27" s="106">
        <v>23.4</v>
      </c>
      <c r="G27" s="65"/>
      <c r="H27" s="65"/>
      <c r="I27" s="42">
        <f>SUM(G27:H27)*$I$4</f>
        <v>0</v>
      </c>
      <c r="J27" s="42">
        <f>SUM(G27:I27)*$J$4</f>
        <v>0</v>
      </c>
      <c r="K27" s="42">
        <f t="shared" si="3"/>
        <v>0</v>
      </c>
      <c r="L27" s="42">
        <f t="shared" si="4"/>
        <v>0</v>
      </c>
      <c r="M27" s="91" t="s">
        <v>421</v>
      </c>
    </row>
    <row r="28" s="2" customFormat="1" ht="67.05" customHeight="1" spans="1:13">
      <c r="A28" s="24">
        <v>9</v>
      </c>
      <c r="B28" s="113" t="s">
        <v>251</v>
      </c>
      <c r="C28" s="72" t="s">
        <v>252</v>
      </c>
      <c r="D28" s="196" t="s">
        <v>249</v>
      </c>
      <c r="E28" s="116" t="s">
        <v>175</v>
      </c>
      <c r="F28" s="106">
        <v>34.44</v>
      </c>
      <c r="G28" s="65"/>
      <c r="H28" s="65"/>
      <c r="I28" s="42">
        <f>SUM(G28:H28)*$I$4</f>
        <v>0</v>
      </c>
      <c r="J28" s="42">
        <f>SUM(G28:I28)*$J$4</f>
        <v>0</v>
      </c>
      <c r="K28" s="42">
        <f t="shared" si="3"/>
        <v>0</v>
      </c>
      <c r="L28" s="42">
        <f t="shared" si="4"/>
        <v>0</v>
      </c>
      <c r="M28" s="91" t="s">
        <v>421</v>
      </c>
    </row>
    <row r="29" s="2" customFormat="1" ht="24.9" customHeight="1" spans="1:13">
      <c r="A29" s="58" t="s">
        <v>293</v>
      </c>
      <c r="B29" s="59" t="s">
        <v>387</v>
      </c>
      <c r="C29" s="59"/>
      <c r="D29" s="60"/>
      <c r="E29" s="60"/>
      <c r="F29" s="60"/>
      <c r="G29" s="61"/>
      <c r="H29" s="62"/>
      <c r="I29" s="62"/>
      <c r="J29" s="62"/>
      <c r="K29" s="62"/>
      <c r="L29" s="89"/>
      <c r="M29" s="62"/>
    </row>
    <row r="30" s="2" customFormat="1" ht="264" spans="1:13">
      <c r="A30" s="24">
        <v>1</v>
      </c>
      <c r="B30" s="70" t="s">
        <v>380</v>
      </c>
      <c r="C30" s="70" t="s">
        <v>381</v>
      </c>
      <c r="D30" s="167" t="s">
        <v>233</v>
      </c>
      <c r="E30" s="28" t="s">
        <v>198</v>
      </c>
      <c r="F30" s="106">
        <f>53.28*108+19.69*16</f>
        <v>6069.28</v>
      </c>
      <c r="G30" s="65"/>
      <c r="H30" s="65"/>
      <c r="I30" s="42">
        <f>SUM(G30:H30)*$I$4</f>
        <v>0</v>
      </c>
      <c r="J30" s="42">
        <f>SUM(G30:I30)*$J$4</f>
        <v>0</v>
      </c>
      <c r="K30" s="42">
        <f t="shared" ref="K30:K35" si="5">SUM(G30:J30)</f>
        <v>0</v>
      </c>
      <c r="L30" s="42">
        <f t="shared" ref="L30:L35" si="6">F30*K30</f>
        <v>0</v>
      </c>
      <c r="M30" s="29" t="s">
        <v>422</v>
      </c>
    </row>
    <row r="31" s="2" customFormat="1" ht="84" spans="1:13">
      <c r="A31" s="24">
        <v>2</v>
      </c>
      <c r="B31" s="70" t="s">
        <v>227</v>
      </c>
      <c r="C31" s="70" t="s">
        <v>228</v>
      </c>
      <c r="D31" s="189" t="s">
        <v>229</v>
      </c>
      <c r="E31" s="28" t="s">
        <v>198</v>
      </c>
      <c r="F31" s="106">
        <f>26.4*108+2.14*16</f>
        <v>2885.44</v>
      </c>
      <c r="G31" s="65"/>
      <c r="H31" s="65"/>
      <c r="I31" s="42">
        <f>SUM(G31:H31)*$I$4</f>
        <v>0</v>
      </c>
      <c r="J31" s="42">
        <f>SUM(G31:I31)*$J$4</f>
        <v>0</v>
      </c>
      <c r="K31" s="42">
        <f t="shared" si="5"/>
        <v>0</v>
      </c>
      <c r="L31" s="42">
        <f t="shared" si="6"/>
        <v>0</v>
      </c>
      <c r="M31" s="91" t="s">
        <v>418</v>
      </c>
    </row>
    <row r="32" s="2" customFormat="1" ht="96" spans="1:13">
      <c r="A32" s="24">
        <v>3</v>
      </c>
      <c r="B32" s="70" t="s">
        <v>231</v>
      </c>
      <c r="C32" s="70" t="s">
        <v>232</v>
      </c>
      <c r="D32" s="167" t="s">
        <v>233</v>
      </c>
      <c r="E32" s="28" t="s">
        <v>198</v>
      </c>
      <c r="F32" s="64">
        <f>F31*1.07</f>
        <v>3087.4208</v>
      </c>
      <c r="G32" s="65"/>
      <c r="H32" s="65"/>
      <c r="I32" s="42">
        <f>SUM(G32:H32)*$I$4</f>
        <v>0</v>
      </c>
      <c r="J32" s="42">
        <f>SUM(G32:I32)*$J$4</f>
        <v>0</v>
      </c>
      <c r="K32" s="42">
        <f t="shared" si="5"/>
        <v>0</v>
      </c>
      <c r="L32" s="42">
        <f t="shared" si="6"/>
        <v>0</v>
      </c>
      <c r="M32" s="29" t="s">
        <v>423</v>
      </c>
    </row>
    <row r="33" s="2" customFormat="1" ht="72" spans="1:13">
      <c r="A33" s="24">
        <v>4</v>
      </c>
      <c r="B33" s="70" t="s">
        <v>235</v>
      </c>
      <c r="C33" s="70" t="s">
        <v>353</v>
      </c>
      <c r="D33" s="189" t="s">
        <v>229</v>
      </c>
      <c r="E33" s="28" t="s">
        <v>198</v>
      </c>
      <c r="F33" s="106">
        <f>4.41*106</f>
        <v>467.46</v>
      </c>
      <c r="G33" s="65"/>
      <c r="H33" s="65"/>
      <c r="I33" s="42">
        <f>SUM(G33:H33)*$I$4</f>
        <v>0</v>
      </c>
      <c r="J33" s="42">
        <f>SUM(G33:I33)*$J$4</f>
        <v>0</v>
      </c>
      <c r="K33" s="42">
        <f t="shared" si="5"/>
        <v>0</v>
      </c>
      <c r="L33" s="42">
        <f t="shared" si="6"/>
        <v>0</v>
      </c>
      <c r="M33" s="91" t="s">
        <v>418</v>
      </c>
    </row>
    <row r="34" s="2" customFormat="1" ht="96" spans="1:13">
      <c r="A34" s="24">
        <v>5</v>
      </c>
      <c r="B34" s="113" t="s">
        <v>237</v>
      </c>
      <c r="C34" s="114" t="s">
        <v>238</v>
      </c>
      <c r="D34" s="167" t="s">
        <v>233</v>
      </c>
      <c r="E34" s="116" t="s">
        <v>211</v>
      </c>
      <c r="F34" s="64">
        <f>F33*1.05</f>
        <v>490.833</v>
      </c>
      <c r="G34" s="65"/>
      <c r="H34" s="65"/>
      <c r="I34" s="42">
        <f>SUM(G34:H34)*$I$4</f>
        <v>0</v>
      </c>
      <c r="J34" s="42">
        <f>SUM(G34:I34)*$J$4</f>
        <v>0</v>
      </c>
      <c r="K34" s="42">
        <f t="shared" si="5"/>
        <v>0</v>
      </c>
      <c r="L34" s="42">
        <f t="shared" si="6"/>
        <v>0</v>
      </c>
      <c r="M34" s="29" t="s">
        <v>419</v>
      </c>
    </row>
    <row r="35" s="2" customFormat="1" ht="58.05" customHeight="1" spans="1:13">
      <c r="A35" s="107">
        <v>7</v>
      </c>
      <c r="B35" s="283" t="s">
        <v>424</v>
      </c>
      <c r="C35" s="284" t="s">
        <v>425</v>
      </c>
      <c r="D35" s="125" t="s">
        <v>396</v>
      </c>
      <c r="E35" s="192" t="s">
        <v>175</v>
      </c>
      <c r="F35" s="173">
        <f>34.2*108+12.74*6+6.37*10</f>
        <v>3833.74</v>
      </c>
      <c r="G35" s="112"/>
      <c r="H35" s="112"/>
      <c r="I35" s="156">
        <f>SUM(G35:H35)*$I$4</f>
        <v>0</v>
      </c>
      <c r="J35" s="156">
        <f>SUM(G35:I35)*$J$4</f>
        <v>0</v>
      </c>
      <c r="K35" s="156">
        <f t="shared" si="5"/>
        <v>0</v>
      </c>
      <c r="L35" s="156">
        <f t="shared" si="6"/>
        <v>0</v>
      </c>
      <c r="M35" s="112"/>
    </row>
    <row r="36" s="2" customFormat="1" ht="24.9" customHeight="1" spans="1:13">
      <c r="A36" s="58" t="s">
        <v>388</v>
      </c>
      <c r="B36" s="59" t="s">
        <v>389</v>
      </c>
      <c r="C36" s="59"/>
      <c r="D36" s="60"/>
      <c r="E36" s="60"/>
      <c r="F36" s="60"/>
      <c r="G36" s="61"/>
      <c r="H36" s="62"/>
      <c r="I36" s="62"/>
      <c r="J36" s="62"/>
      <c r="K36" s="62"/>
      <c r="L36" s="89"/>
      <c r="M36" s="62"/>
    </row>
    <row r="37" s="2" customFormat="1" ht="79.5" customHeight="1" spans="1:13">
      <c r="A37" s="24">
        <v>1</v>
      </c>
      <c r="B37" s="25" t="s">
        <v>256</v>
      </c>
      <c r="C37" s="118" t="s">
        <v>257</v>
      </c>
      <c r="D37" s="76" t="s">
        <v>197</v>
      </c>
      <c r="E37" s="28" t="s">
        <v>198</v>
      </c>
      <c r="F37" s="119">
        <f>2335.72-30.34</f>
        <v>2305.38</v>
      </c>
      <c r="G37" s="65"/>
      <c r="H37" s="65"/>
      <c r="I37" s="42">
        <f>SUM(G37:H37)*$I$4</f>
        <v>0</v>
      </c>
      <c r="J37" s="42">
        <f>SUM(G37:I37)*$J$4</f>
        <v>0</v>
      </c>
      <c r="K37" s="42">
        <f t="shared" ref="K37:K44" si="7">SUM(G37:J37)</f>
        <v>0</v>
      </c>
      <c r="L37" s="42">
        <f t="shared" ref="L37:L44" si="8">F37*K37</f>
        <v>0</v>
      </c>
      <c r="M37" s="29" t="s">
        <v>419</v>
      </c>
    </row>
    <row r="38" s="2" customFormat="1" ht="120" spans="1:13">
      <c r="A38" s="24">
        <v>2</v>
      </c>
      <c r="B38" s="285" t="s">
        <v>390</v>
      </c>
      <c r="C38" s="63" t="s">
        <v>391</v>
      </c>
      <c r="D38" s="76" t="s">
        <v>197</v>
      </c>
      <c r="E38" s="28" t="s">
        <v>175</v>
      </c>
      <c r="F38" s="119">
        <v>695.42</v>
      </c>
      <c r="G38" s="65"/>
      <c r="H38" s="65"/>
      <c r="I38" s="42">
        <f>SUM(G38:H38)*$I$4</f>
        <v>0</v>
      </c>
      <c r="J38" s="42">
        <f>SUM(G38:I38)*$J$4</f>
        <v>0</v>
      </c>
      <c r="K38" s="42">
        <f t="shared" si="7"/>
        <v>0</v>
      </c>
      <c r="L38" s="42">
        <f t="shared" si="8"/>
        <v>0</v>
      </c>
      <c r="M38" s="29" t="s">
        <v>410</v>
      </c>
    </row>
    <row r="39" s="2" customFormat="1" ht="120" spans="1:13">
      <c r="A39" s="24">
        <v>3</v>
      </c>
      <c r="B39" s="285" t="s">
        <v>392</v>
      </c>
      <c r="C39" s="63" t="s">
        <v>391</v>
      </c>
      <c r="D39" s="76" t="s">
        <v>197</v>
      </c>
      <c r="E39" s="28" t="s">
        <v>198</v>
      </c>
      <c r="F39" s="119">
        <v>245.79</v>
      </c>
      <c r="G39" s="65"/>
      <c r="H39" s="65"/>
      <c r="I39" s="42">
        <f>SUM(G39:H39)*$I$4</f>
        <v>0</v>
      </c>
      <c r="J39" s="42">
        <f>SUM(G39:I39)*$J$4</f>
        <v>0</v>
      </c>
      <c r="K39" s="42">
        <f t="shared" si="7"/>
        <v>0</v>
      </c>
      <c r="L39" s="42">
        <f t="shared" si="8"/>
        <v>0</v>
      </c>
      <c r="M39" s="29" t="s">
        <v>410</v>
      </c>
    </row>
    <row r="40" s="2" customFormat="1" ht="120" spans="1:13">
      <c r="A40" s="24">
        <v>4</v>
      </c>
      <c r="B40" s="285" t="s">
        <v>393</v>
      </c>
      <c r="C40" s="63" t="s">
        <v>391</v>
      </c>
      <c r="D40" s="76" t="s">
        <v>197</v>
      </c>
      <c r="E40" s="28" t="s">
        <v>198</v>
      </c>
      <c r="F40" s="119">
        <v>3981.86</v>
      </c>
      <c r="G40" s="65"/>
      <c r="H40" s="65"/>
      <c r="I40" s="42">
        <f>SUM(G40:H40)*$I$4</f>
        <v>0</v>
      </c>
      <c r="J40" s="42">
        <f>SUM(G40:I40)*$J$4</f>
        <v>0</v>
      </c>
      <c r="K40" s="42">
        <f t="shared" si="7"/>
        <v>0</v>
      </c>
      <c r="L40" s="42">
        <f t="shared" si="8"/>
        <v>0</v>
      </c>
      <c r="M40" s="29" t="s">
        <v>410</v>
      </c>
    </row>
    <row r="41" s="3" customFormat="1" ht="96" spans="1:13">
      <c r="A41" s="107">
        <v>7</v>
      </c>
      <c r="B41" s="120" t="s">
        <v>262</v>
      </c>
      <c r="C41" s="236" t="s">
        <v>263</v>
      </c>
      <c r="D41" s="190" t="s">
        <v>264</v>
      </c>
      <c r="E41" s="122" t="s">
        <v>265</v>
      </c>
      <c r="F41" s="123">
        <f>88</f>
        <v>88</v>
      </c>
      <c r="G41" s="112"/>
      <c r="H41" s="112"/>
      <c r="I41" s="156">
        <f>SUM(G41:H41)*$I$4</f>
        <v>0</v>
      </c>
      <c r="J41" s="156">
        <f>SUM(G41:I41)*$J$4</f>
        <v>0</v>
      </c>
      <c r="K41" s="156">
        <f t="shared" si="7"/>
        <v>0</v>
      </c>
      <c r="L41" s="156">
        <f t="shared" si="8"/>
        <v>0</v>
      </c>
      <c r="M41" s="158" t="s">
        <v>426</v>
      </c>
    </row>
    <row r="42" s="2" customFormat="1" ht="96" spans="1:13">
      <c r="A42" s="24">
        <v>8</v>
      </c>
      <c r="B42" s="285" t="s">
        <v>394</v>
      </c>
      <c r="C42" s="63" t="s">
        <v>395</v>
      </c>
      <c r="D42" s="76" t="s">
        <v>396</v>
      </c>
      <c r="E42" s="28" t="s">
        <v>175</v>
      </c>
      <c r="F42" s="119">
        <f>64.88+527.84*1.15</f>
        <v>671.896</v>
      </c>
      <c r="G42" s="65"/>
      <c r="H42" s="65"/>
      <c r="I42" s="42">
        <f>SUM(G42:H42)*$I$4</f>
        <v>0</v>
      </c>
      <c r="J42" s="42">
        <f>SUM(G42:I42)*$J$4</f>
        <v>0</v>
      </c>
      <c r="K42" s="42">
        <f t="shared" si="7"/>
        <v>0</v>
      </c>
      <c r="L42" s="42">
        <f t="shared" si="8"/>
        <v>0</v>
      </c>
      <c r="M42" s="29" t="s">
        <v>410</v>
      </c>
    </row>
    <row r="43" s="2" customFormat="1" ht="96" spans="1:13">
      <c r="A43" s="24">
        <v>9</v>
      </c>
      <c r="B43" s="285" t="s">
        <v>397</v>
      </c>
      <c r="C43" s="63" t="s">
        <v>398</v>
      </c>
      <c r="D43" s="76" t="s">
        <v>396</v>
      </c>
      <c r="E43" s="28" t="s">
        <v>175</v>
      </c>
      <c r="F43" s="119">
        <f>67.08</f>
        <v>67.08</v>
      </c>
      <c r="G43" s="65"/>
      <c r="H43" s="65"/>
      <c r="I43" s="42">
        <f>SUM(G43:H43)*$I$4</f>
        <v>0</v>
      </c>
      <c r="J43" s="42">
        <f>SUM(G43:I43)*$J$4</f>
        <v>0</v>
      </c>
      <c r="K43" s="42">
        <f t="shared" si="7"/>
        <v>0</v>
      </c>
      <c r="L43" s="42">
        <f t="shared" si="8"/>
        <v>0</v>
      </c>
      <c r="M43" s="29" t="s">
        <v>427</v>
      </c>
    </row>
    <row r="44" s="2" customFormat="1" ht="60" spans="1:13">
      <c r="A44" s="24">
        <v>10</v>
      </c>
      <c r="B44" s="273" t="s">
        <v>400</v>
      </c>
      <c r="C44" s="274" t="s">
        <v>348</v>
      </c>
      <c r="D44" s="286" t="s">
        <v>349</v>
      </c>
      <c r="E44" s="131" t="s">
        <v>198</v>
      </c>
      <c r="F44" s="119">
        <f>6*0.45*6</f>
        <v>16.2</v>
      </c>
      <c r="G44" s="65"/>
      <c r="H44" s="65"/>
      <c r="I44" s="42">
        <f>SUM(G44:H44)*$I$4</f>
        <v>0</v>
      </c>
      <c r="J44" s="42">
        <f>SUM(G44:I44)*$J$4</f>
        <v>0</v>
      </c>
      <c r="K44" s="42">
        <f t="shared" si="7"/>
        <v>0</v>
      </c>
      <c r="L44" s="42">
        <f t="shared" si="8"/>
        <v>0</v>
      </c>
      <c r="M44" s="29" t="s">
        <v>428</v>
      </c>
    </row>
    <row r="45" s="2" customFormat="1" ht="24.9" customHeight="1" spans="1:13">
      <c r="A45" s="58" t="s">
        <v>402</v>
      </c>
      <c r="B45" s="59" t="s">
        <v>403</v>
      </c>
      <c r="C45" s="59"/>
      <c r="D45" s="60"/>
      <c r="E45" s="60"/>
      <c r="F45" s="60"/>
      <c r="G45" s="61"/>
      <c r="H45" s="62"/>
      <c r="I45" s="62"/>
      <c r="J45" s="62"/>
      <c r="K45" s="62"/>
      <c r="L45" s="89"/>
      <c r="M45" s="62"/>
    </row>
    <row r="46" s="2" customFormat="1" ht="79.5" customHeight="1" spans="1:13">
      <c r="A46" s="24">
        <v>1</v>
      </c>
      <c r="B46" s="25" t="s">
        <v>256</v>
      </c>
      <c r="C46" s="118" t="s">
        <v>257</v>
      </c>
      <c r="D46" s="76" t="s">
        <v>197</v>
      </c>
      <c r="E46" s="28" t="s">
        <v>198</v>
      </c>
      <c r="F46" s="119">
        <f>172.42*108+75.71*16</f>
        <v>19832.72</v>
      </c>
      <c r="G46" s="65"/>
      <c r="H46" s="65"/>
      <c r="I46" s="42">
        <f>SUM(G46:H46)*$I$4</f>
        <v>0</v>
      </c>
      <c r="J46" s="42">
        <f>SUM(G46:I46)*$J$4</f>
        <v>0</v>
      </c>
      <c r="K46" s="42">
        <f t="shared" ref="K46:K52" si="9">SUM(G46:J46)</f>
        <v>0</v>
      </c>
      <c r="L46" s="42">
        <f t="shared" ref="L46:L52" si="10">F46*K46</f>
        <v>0</v>
      </c>
      <c r="M46" s="29" t="s">
        <v>419</v>
      </c>
    </row>
    <row r="47" s="2" customFormat="1" ht="120" spans="1:13">
      <c r="A47" s="24">
        <v>2</v>
      </c>
      <c r="B47" s="285" t="s">
        <v>404</v>
      </c>
      <c r="C47" s="63" t="s">
        <v>391</v>
      </c>
      <c r="D47" s="76" t="s">
        <v>197</v>
      </c>
      <c r="E47" s="28" t="s">
        <v>175</v>
      </c>
      <c r="F47" s="119">
        <f>50.8*108+19.06*16</f>
        <v>5791.36</v>
      </c>
      <c r="G47" s="65"/>
      <c r="H47" s="65"/>
      <c r="I47" s="42">
        <f>SUM(G47:H47)*$I$4</f>
        <v>0</v>
      </c>
      <c r="J47" s="42">
        <f>SUM(G47:I47)*$J$4</f>
        <v>0</v>
      </c>
      <c r="K47" s="42">
        <f t="shared" si="9"/>
        <v>0</v>
      </c>
      <c r="L47" s="42">
        <f t="shared" si="10"/>
        <v>0</v>
      </c>
      <c r="M47" s="29" t="s">
        <v>410</v>
      </c>
    </row>
    <row r="48" s="2" customFormat="1" ht="120" spans="1:13">
      <c r="A48" s="24">
        <v>3</v>
      </c>
      <c r="B48" s="285" t="s">
        <v>392</v>
      </c>
      <c r="C48" s="63" t="s">
        <v>391</v>
      </c>
      <c r="D48" s="27" t="s">
        <v>197</v>
      </c>
      <c r="E48" s="28" t="s">
        <v>198</v>
      </c>
      <c r="F48" s="119">
        <f>44.83*108+11.82*16</f>
        <v>5030.76</v>
      </c>
      <c r="G48" s="65"/>
      <c r="H48" s="65"/>
      <c r="I48" s="42">
        <f>SUM(G48:H48)*$I$4</f>
        <v>0</v>
      </c>
      <c r="J48" s="42">
        <f>SUM(G48:I48)*$J$4</f>
        <v>0</v>
      </c>
      <c r="K48" s="42">
        <f t="shared" si="9"/>
        <v>0</v>
      </c>
      <c r="L48" s="42">
        <f t="shared" si="10"/>
        <v>0</v>
      </c>
      <c r="M48" s="29" t="s">
        <v>410</v>
      </c>
    </row>
    <row r="49" s="2" customFormat="1" ht="120" spans="1:13">
      <c r="A49" s="24">
        <v>4</v>
      </c>
      <c r="B49" s="285" t="s">
        <v>429</v>
      </c>
      <c r="C49" s="63" t="s">
        <v>391</v>
      </c>
      <c r="D49" s="27" t="s">
        <v>197</v>
      </c>
      <c r="E49" s="28" t="s">
        <v>198</v>
      </c>
      <c r="F49" s="119">
        <f>24.2*108</f>
        <v>2613.6</v>
      </c>
      <c r="G49" s="65"/>
      <c r="H49" s="65"/>
      <c r="I49" s="42">
        <f>SUM(G49:H49)*$I$4</f>
        <v>0</v>
      </c>
      <c r="J49" s="42">
        <f>SUM(G49:I49)*$J$4</f>
        <v>0</v>
      </c>
      <c r="K49" s="42">
        <f t="shared" si="9"/>
        <v>0</v>
      </c>
      <c r="L49" s="42">
        <f t="shared" si="10"/>
        <v>0</v>
      </c>
      <c r="M49" s="91" t="s">
        <v>430</v>
      </c>
    </row>
    <row r="50" s="2" customFormat="1" ht="96" spans="1:13">
      <c r="A50" s="24">
        <v>5</v>
      </c>
      <c r="B50" s="285" t="s">
        <v>397</v>
      </c>
      <c r="C50" s="63" t="s">
        <v>398</v>
      </c>
      <c r="D50" s="27" t="s">
        <v>396</v>
      </c>
      <c r="E50" s="28" t="s">
        <v>175</v>
      </c>
      <c r="F50" s="119">
        <f>37.24*108+20.96*16</f>
        <v>4357.28</v>
      </c>
      <c r="G50" s="65"/>
      <c r="H50" s="65"/>
      <c r="I50" s="42">
        <f>SUM(G50:H50)*$I$4</f>
        <v>0</v>
      </c>
      <c r="J50" s="42">
        <f>SUM(G50:I50)*$J$4</f>
        <v>0</v>
      </c>
      <c r="K50" s="42">
        <f t="shared" si="9"/>
        <v>0</v>
      </c>
      <c r="L50" s="42">
        <f t="shared" si="10"/>
        <v>0</v>
      </c>
      <c r="M50" s="29" t="s">
        <v>427</v>
      </c>
    </row>
    <row r="51" s="2" customFormat="1" ht="60" spans="1:13">
      <c r="A51" s="24">
        <v>8</v>
      </c>
      <c r="B51" s="273" t="s">
        <v>400</v>
      </c>
      <c r="C51" s="274" t="s">
        <v>348</v>
      </c>
      <c r="D51" s="248" t="s">
        <v>349</v>
      </c>
      <c r="E51" s="131" t="s">
        <v>198</v>
      </c>
      <c r="F51" s="119">
        <f>5*0.45*108+0.45*2*16</f>
        <v>257.4</v>
      </c>
      <c r="G51" s="65"/>
      <c r="H51" s="65"/>
      <c r="I51" s="42">
        <f>SUM(G51:H51)*$I$4</f>
        <v>0</v>
      </c>
      <c r="J51" s="42">
        <f>SUM(G51:I51)*$J$4</f>
        <v>0</v>
      </c>
      <c r="K51" s="42">
        <f t="shared" si="9"/>
        <v>0</v>
      </c>
      <c r="L51" s="42">
        <f t="shared" si="10"/>
        <v>0</v>
      </c>
      <c r="M51" s="29" t="s">
        <v>428</v>
      </c>
    </row>
    <row r="52" s="3" customFormat="1" ht="72" spans="1:13">
      <c r="A52" s="24">
        <v>9</v>
      </c>
      <c r="B52" s="271" t="s">
        <v>405</v>
      </c>
      <c r="C52" s="272" t="s">
        <v>406</v>
      </c>
      <c r="D52" s="287" t="s">
        <v>407</v>
      </c>
      <c r="E52" s="213" t="s">
        <v>175</v>
      </c>
      <c r="F52" s="119">
        <f>((1+2.4*2)*2+(1.4+2.4*2)*3)*108+(1.4+2.4*2)*1*10+(1.4+2.4*2)*2*6</f>
        <v>3398</v>
      </c>
      <c r="G52" s="65"/>
      <c r="H52" s="65"/>
      <c r="I52" s="42">
        <f>SUM(G52:H52)*$I$4</f>
        <v>0</v>
      </c>
      <c r="J52" s="42">
        <f>SUM(G52:I52)*$J$4</f>
        <v>0</v>
      </c>
      <c r="K52" s="42">
        <f t="shared" si="9"/>
        <v>0</v>
      </c>
      <c r="L52" s="42">
        <f t="shared" si="10"/>
        <v>0</v>
      </c>
      <c r="M52" s="29" t="s">
        <v>431</v>
      </c>
    </row>
    <row r="53" ht="24.9" customHeight="1" spans="1:13">
      <c r="A53" s="61" t="s">
        <v>409</v>
      </c>
      <c r="B53" s="59" t="s">
        <v>294</v>
      </c>
      <c r="C53" s="59"/>
      <c r="D53" s="60"/>
      <c r="E53" s="60"/>
      <c r="F53" s="60"/>
      <c r="G53" s="61"/>
      <c r="H53" s="62"/>
      <c r="I53" s="62"/>
      <c r="J53" s="62"/>
      <c r="K53" s="62"/>
      <c r="L53" s="89"/>
      <c r="M53" s="62"/>
    </row>
    <row r="54" s="3" customFormat="1" ht="24" customHeight="1" spans="1:13">
      <c r="A54" s="24">
        <v>2</v>
      </c>
      <c r="B54" s="27" t="s">
        <v>295</v>
      </c>
      <c r="C54" s="27" t="s">
        <v>296</v>
      </c>
      <c r="D54" s="27" t="s">
        <v>297</v>
      </c>
      <c r="E54" s="28" t="s">
        <v>198</v>
      </c>
      <c r="F54" s="119">
        <v>12453.38</v>
      </c>
      <c r="G54" s="65"/>
      <c r="H54" s="65"/>
      <c r="I54" s="42">
        <f>SUM(G54:H54)*$I$4</f>
        <v>0</v>
      </c>
      <c r="J54" s="42">
        <f>SUM(G54:I54)*$J$4</f>
        <v>0</v>
      </c>
      <c r="K54" s="42">
        <f>SUM(G54:J54)</f>
        <v>0</v>
      </c>
      <c r="L54" s="42">
        <f t="shared" ref="L54:L56" si="11">F54*K54</f>
        <v>0</v>
      </c>
      <c r="M54" s="91" t="s">
        <v>298</v>
      </c>
    </row>
    <row r="55" s="3" customFormat="1" ht="24" customHeight="1" spans="1:13">
      <c r="A55" s="24">
        <v>3</v>
      </c>
      <c r="B55" s="27" t="s">
        <v>299</v>
      </c>
      <c r="C55" s="27" t="s">
        <v>300</v>
      </c>
      <c r="D55" s="27" t="s">
        <v>297</v>
      </c>
      <c r="E55" s="28" t="s">
        <v>198</v>
      </c>
      <c r="F55" s="119">
        <f>F54</f>
        <v>12453.38</v>
      </c>
      <c r="G55" s="65"/>
      <c r="H55" s="65"/>
      <c r="I55" s="42">
        <f>SUM(G55:H55)*$I$4</f>
        <v>0</v>
      </c>
      <c r="J55" s="42">
        <f>SUM(G55:I55)*$J$4</f>
        <v>0</v>
      </c>
      <c r="K55" s="42">
        <f>SUM(G55:J55)</f>
        <v>0</v>
      </c>
      <c r="L55" s="42">
        <f t="shared" si="11"/>
        <v>0</v>
      </c>
      <c r="M55" s="91" t="s">
        <v>301</v>
      </c>
    </row>
    <row r="56" s="3" customFormat="1" ht="31.05" customHeight="1" spans="1:13">
      <c r="A56" s="24">
        <v>4</v>
      </c>
      <c r="B56" s="27" t="s">
        <v>302</v>
      </c>
      <c r="C56" s="27" t="s">
        <v>302</v>
      </c>
      <c r="D56" s="27" t="s">
        <v>297</v>
      </c>
      <c r="E56" s="28" t="s">
        <v>198</v>
      </c>
      <c r="F56" s="119">
        <f>F55</f>
        <v>12453.38</v>
      </c>
      <c r="G56" s="65"/>
      <c r="H56" s="65"/>
      <c r="I56" s="42">
        <f>SUM(G56:H56)*$I$4</f>
        <v>0</v>
      </c>
      <c r="J56" s="42">
        <f>SUM(G56:I56)*$J$4</f>
        <v>0</v>
      </c>
      <c r="K56" s="42">
        <f>SUM(G56:J56)</f>
        <v>0</v>
      </c>
      <c r="L56" s="42">
        <f t="shared" si="11"/>
        <v>0</v>
      </c>
      <c r="M56" s="91" t="s">
        <v>303</v>
      </c>
    </row>
    <row r="57" ht="24.9" customHeight="1" spans="1:13">
      <c r="A57" s="77"/>
      <c r="B57" s="79" t="s">
        <v>63</v>
      </c>
      <c r="C57" s="79"/>
      <c r="D57" s="80"/>
      <c r="E57" s="80"/>
      <c r="F57" s="80"/>
      <c r="G57" s="81"/>
      <c r="H57" s="82"/>
      <c r="I57" s="82"/>
      <c r="J57" s="82"/>
      <c r="K57" s="82"/>
      <c r="L57" s="95" t="e">
        <f>SUM(L5:L56)</f>
        <v>#REF!</v>
      </c>
      <c r="M57" s="82"/>
    </row>
    <row r="58" ht="20.1" customHeight="1" spans="1:7">
      <c r="A58" s="83"/>
      <c r="B58" s="83"/>
      <c r="C58" s="83"/>
      <c r="D58" s="83"/>
      <c r="E58" s="83"/>
      <c r="F58" s="83"/>
      <c r="G58" s="83"/>
    </row>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sheetData>
  <protectedRanges>
    <protectedRange sqref="B15" name="区域2_1_1_3_2_1"/>
  </protectedRanges>
  <autoFilter ref="A2:M57">
    <extLst/>
  </autoFilter>
  <mergeCells count="21">
    <mergeCell ref="A1:M1"/>
    <mergeCell ref="G2:J2"/>
    <mergeCell ref="B5:C5"/>
    <mergeCell ref="B16:C16"/>
    <mergeCell ref="B22:C22"/>
    <mergeCell ref="B29:C29"/>
    <mergeCell ref="B36:C36"/>
    <mergeCell ref="B45:C45"/>
    <mergeCell ref="B53:C53"/>
    <mergeCell ref="B57:C57"/>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60"/>
  <sheetViews>
    <sheetView view="pageBreakPreview" zoomScale="90" zoomScaleNormal="100" workbookViewId="0">
      <pane ySplit="4" topLeftCell="A29" activePane="bottomLeft" state="frozen"/>
      <selection/>
      <selection pane="bottomLeft" activeCell="M16" sqref="M16"/>
    </sheetView>
  </sheetViews>
  <sheetFormatPr defaultColWidth="9" defaultRowHeight="14"/>
  <cols>
    <col min="1" max="1" width="5.66363636363636" style="47" customWidth="1"/>
    <col min="2" max="2" width="15.6636363636364" style="47" customWidth="1"/>
    <col min="3" max="3" width="24" style="47" customWidth="1"/>
    <col min="4" max="4" width="20.6636363636364" style="47" customWidth="1"/>
    <col min="5" max="5" width="5.66363636363636" style="47" customWidth="1"/>
    <col min="6" max="6" width="10.6636363636364" style="49" customWidth="1"/>
    <col min="7" max="7" width="10.6636363636364" style="47" customWidth="1"/>
    <col min="8" max="12" width="10.6636363636364" style="50" customWidth="1"/>
    <col min="13" max="13" width="12.6636363636364" style="50" customWidth="1"/>
    <col min="14" max="14" width="9" style="50"/>
    <col min="15" max="15" width="9.44545454545455" style="50"/>
    <col min="16" max="16384" width="9" style="50"/>
  </cols>
  <sheetData>
    <row r="1" s="46" customFormat="1" ht="30" customHeight="1" spans="1:13">
      <c r="A1" s="52" t="s">
        <v>432</v>
      </c>
      <c r="B1" s="52"/>
      <c r="C1" s="52"/>
      <c r="D1" s="52"/>
      <c r="E1" s="52"/>
      <c r="F1" s="54"/>
      <c r="G1" s="52"/>
      <c r="H1" s="52"/>
      <c r="I1" s="52"/>
      <c r="J1" s="52"/>
      <c r="K1" s="52"/>
      <c r="L1" s="52"/>
      <c r="M1" s="52"/>
    </row>
    <row r="2" ht="20.1" customHeight="1" spans="1:13">
      <c r="A2" s="55" t="s">
        <v>97</v>
      </c>
      <c r="B2" s="55" t="s">
        <v>182</v>
      </c>
      <c r="C2" s="55" t="s">
        <v>183</v>
      </c>
      <c r="D2" s="55" t="s">
        <v>184</v>
      </c>
      <c r="E2" s="55" t="s">
        <v>125</v>
      </c>
      <c r="F2" s="56" t="s">
        <v>185</v>
      </c>
      <c r="G2" s="55" t="s">
        <v>186</v>
      </c>
      <c r="H2" s="57"/>
      <c r="I2" s="55"/>
      <c r="J2" s="56"/>
      <c r="K2" s="197" t="s">
        <v>187</v>
      </c>
      <c r="L2" s="56" t="s">
        <v>188</v>
      </c>
      <c r="M2" s="55" t="s">
        <v>43</v>
      </c>
    </row>
    <row r="3" ht="20.1" customHeight="1" spans="1:13">
      <c r="A3" s="55"/>
      <c r="B3" s="55"/>
      <c r="C3" s="55"/>
      <c r="D3" s="55"/>
      <c r="E3" s="55"/>
      <c r="F3" s="56"/>
      <c r="G3" s="162" t="s">
        <v>189</v>
      </c>
      <c r="H3" s="163" t="s">
        <v>190</v>
      </c>
      <c r="I3" s="56" t="s">
        <v>191</v>
      </c>
      <c r="J3" s="56" t="s">
        <v>192</v>
      </c>
      <c r="K3" s="198"/>
      <c r="L3" s="56"/>
      <c r="M3" s="55"/>
    </row>
    <row r="4" ht="20.1" customHeight="1" spans="1:13">
      <c r="A4" s="55"/>
      <c r="B4" s="55"/>
      <c r="C4" s="55"/>
      <c r="D4" s="55"/>
      <c r="E4" s="55"/>
      <c r="F4" s="56"/>
      <c r="G4" s="55"/>
      <c r="H4" s="162"/>
      <c r="I4" s="88"/>
      <c r="J4" s="88"/>
      <c r="K4" s="199"/>
      <c r="L4" s="56"/>
      <c r="M4" s="55"/>
    </row>
    <row r="5" ht="25.05" customHeight="1" spans="1:13">
      <c r="A5" s="58" t="s">
        <v>193</v>
      </c>
      <c r="B5" s="59" t="s">
        <v>327</v>
      </c>
      <c r="C5" s="59"/>
      <c r="D5" s="60"/>
      <c r="E5" s="60"/>
      <c r="F5" s="61"/>
      <c r="G5" s="61"/>
      <c r="H5" s="62"/>
      <c r="I5" s="62"/>
      <c r="J5" s="62"/>
      <c r="K5" s="62"/>
      <c r="L5" s="89"/>
      <c r="M5" s="62"/>
    </row>
    <row r="6" s="2" customFormat="1" ht="120" spans="1:13">
      <c r="A6" s="24">
        <v>1</v>
      </c>
      <c r="B6" s="63" t="s">
        <v>195</v>
      </c>
      <c r="C6" s="63" t="s">
        <v>433</v>
      </c>
      <c r="D6" s="76" t="s">
        <v>197</v>
      </c>
      <c r="E6" s="166" t="s">
        <v>198</v>
      </c>
      <c r="F6" s="64">
        <f>12015.134+643.67-F7</f>
        <v>12121.594</v>
      </c>
      <c r="G6" s="65"/>
      <c r="H6" s="65"/>
      <c r="I6" s="42">
        <f>SUM(G6:H6)*$I$4</f>
        <v>0</v>
      </c>
      <c r="J6" s="42">
        <f>SUM(G6:I6)*$J$4</f>
        <v>0</v>
      </c>
      <c r="K6" s="42">
        <f t="shared" ref="K6:K13" si="0">SUM(G6:J6)</f>
        <v>0</v>
      </c>
      <c r="L6" s="42">
        <f t="shared" ref="L6:L13" si="1">F6*K6</f>
        <v>0</v>
      </c>
      <c r="M6" s="91" t="s">
        <v>430</v>
      </c>
    </row>
    <row r="7" s="2" customFormat="1" ht="120" spans="1:13">
      <c r="A7" s="24">
        <v>2</v>
      </c>
      <c r="B7" s="63" t="s">
        <v>305</v>
      </c>
      <c r="C7" s="63" t="s">
        <v>329</v>
      </c>
      <c r="D7" s="76" t="s">
        <v>330</v>
      </c>
      <c r="E7" s="225" t="s">
        <v>198</v>
      </c>
      <c r="F7" s="106">
        <f>537.21</f>
        <v>537.21</v>
      </c>
      <c r="G7" s="65"/>
      <c r="H7" s="65"/>
      <c r="I7" s="42">
        <f>SUM(G7:H7)*$I$4</f>
        <v>0</v>
      </c>
      <c r="J7" s="42">
        <f>SUM(G7:I7)*$J$4</f>
        <v>0</v>
      </c>
      <c r="K7" s="42">
        <f t="shared" si="0"/>
        <v>0</v>
      </c>
      <c r="L7" s="42">
        <f t="shared" si="1"/>
        <v>0</v>
      </c>
      <c r="M7" s="29" t="s">
        <v>410</v>
      </c>
    </row>
    <row r="8" s="97" customFormat="1" ht="120" spans="1:13">
      <c r="A8" s="24">
        <v>3</v>
      </c>
      <c r="B8" s="63" t="s">
        <v>195</v>
      </c>
      <c r="C8" s="63" t="s">
        <v>200</v>
      </c>
      <c r="D8" s="76" t="s">
        <v>197</v>
      </c>
      <c r="E8" s="225" t="s">
        <v>198</v>
      </c>
      <c r="F8" s="64">
        <f>(2.8*2+1.2)*5</f>
        <v>34</v>
      </c>
      <c r="G8" s="29"/>
      <c r="H8" s="29"/>
      <c r="I8" s="42">
        <f>SUM(G8:H8)*$I$4</f>
        <v>0</v>
      </c>
      <c r="J8" s="42">
        <f>SUM(G8:I8)*$J$4</f>
        <v>0</v>
      </c>
      <c r="K8" s="42">
        <f t="shared" si="0"/>
        <v>0</v>
      </c>
      <c r="L8" s="42">
        <f t="shared" si="1"/>
        <v>0</v>
      </c>
      <c r="M8" s="29" t="s">
        <v>410</v>
      </c>
    </row>
    <row r="9" s="2" customFormat="1" ht="96" spans="1:13">
      <c r="A9" s="24">
        <v>6</v>
      </c>
      <c r="B9" s="63" t="s">
        <v>219</v>
      </c>
      <c r="C9" s="63" t="s">
        <v>307</v>
      </c>
      <c r="D9" s="63" t="s">
        <v>197</v>
      </c>
      <c r="E9" s="63" t="s">
        <v>198</v>
      </c>
      <c r="F9" s="64">
        <v>99.39</v>
      </c>
      <c r="G9" s="65"/>
      <c r="H9" s="65"/>
      <c r="I9" s="42">
        <f>SUM(G9:H9)*$I$4</f>
        <v>0</v>
      </c>
      <c r="J9" s="42">
        <f>SUM(G9:I9)*$J$4</f>
        <v>0</v>
      </c>
      <c r="K9" s="42">
        <f t="shared" si="0"/>
        <v>0</v>
      </c>
      <c r="L9" s="42">
        <f t="shared" si="1"/>
        <v>0</v>
      </c>
      <c r="M9" s="29" t="s">
        <v>414</v>
      </c>
    </row>
    <row r="10" s="2" customFormat="1" ht="48" spans="1:13">
      <c r="A10" s="24">
        <v>7</v>
      </c>
      <c r="B10" s="63" t="s">
        <v>208</v>
      </c>
      <c r="C10" s="63" t="s">
        <v>334</v>
      </c>
      <c r="D10" s="63" t="s">
        <v>210</v>
      </c>
      <c r="E10" s="63" t="s">
        <v>211</v>
      </c>
      <c r="F10" s="106">
        <v>2334.85</v>
      </c>
      <c r="G10" s="65"/>
      <c r="H10" s="65"/>
      <c r="I10" s="42">
        <f>SUM(G10:H10)*$I$4</f>
        <v>0</v>
      </c>
      <c r="J10" s="42">
        <f>SUM(G10:I10)*$J$4</f>
        <v>0</v>
      </c>
      <c r="K10" s="42">
        <f t="shared" si="0"/>
        <v>0</v>
      </c>
      <c r="L10" s="42">
        <f t="shared" si="1"/>
        <v>0</v>
      </c>
      <c r="M10" s="29" t="s">
        <v>212</v>
      </c>
    </row>
    <row r="11" s="2" customFormat="1" ht="48" spans="1:13">
      <c r="A11" s="24">
        <v>8</v>
      </c>
      <c r="B11" s="63" t="s">
        <v>213</v>
      </c>
      <c r="C11" s="63" t="s">
        <v>335</v>
      </c>
      <c r="D11" s="63" t="s">
        <v>215</v>
      </c>
      <c r="E11" s="63" t="s">
        <v>211</v>
      </c>
      <c r="F11" s="106">
        <v>2334.85</v>
      </c>
      <c r="G11" s="65"/>
      <c r="H11" s="65"/>
      <c r="I11" s="42">
        <f>SUM(G11:H11)*$I$4</f>
        <v>0</v>
      </c>
      <c r="J11" s="42">
        <f>SUM(G11:I11)*$J$4</f>
        <v>0</v>
      </c>
      <c r="K11" s="42">
        <f t="shared" si="0"/>
        <v>0</v>
      </c>
      <c r="L11" s="42">
        <f t="shared" si="1"/>
        <v>0</v>
      </c>
      <c r="M11" s="29" t="s">
        <v>212</v>
      </c>
    </row>
    <row r="12" s="97" customFormat="1" ht="30" customHeight="1" spans="1:13">
      <c r="A12" s="24">
        <v>9</v>
      </c>
      <c r="B12" s="63" t="s">
        <v>434</v>
      </c>
      <c r="C12" s="63" t="s">
        <v>435</v>
      </c>
      <c r="D12" s="63" t="s">
        <v>210</v>
      </c>
      <c r="E12" s="63" t="s">
        <v>211</v>
      </c>
      <c r="F12" s="64">
        <v>2210.47</v>
      </c>
      <c r="G12" s="29"/>
      <c r="H12" s="29"/>
      <c r="I12" s="42">
        <f>SUM(G12:H12)*$I$4</f>
        <v>0</v>
      </c>
      <c r="J12" s="42">
        <f>SUM(G12:I12)*$J$4</f>
        <v>0</v>
      </c>
      <c r="K12" s="42">
        <f t="shared" si="0"/>
        <v>0</v>
      </c>
      <c r="L12" s="42">
        <f t="shared" si="1"/>
        <v>0</v>
      </c>
      <c r="M12" s="29" t="s">
        <v>436</v>
      </c>
    </row>
    <row r="13" s="2" customFormat="1" ht="37.95" customHeight="1" spans="1:13">
      <c r="A13" s="24">
        <v>10</v>
      </c>
      <c r="B13" s="63" t="s">
        <v>221</v>
      </c>
      <c r="C13" s="63" t="s">
        <v>222</v>
      </c>
      <c r="D13" s="63" t="s">
        <v>223</v>
      </c>
      <c r="E13" s="63" t="s">
        <v>178</v>
      </c>
      <c r="F13" s="64">
        <f>9.2*4*5*0.4</f>
        <v>73.6</v>
      </c>
      <c r="G13" s="29"/>
      <c r="H13" s="29"/>
      <c r="I13" s="42">
        <f>SUM(G13:H13)*$I$4</f>
        <v>0</v>
      </c>
      <c r="J13" s="42">
        <f>SUM(G13:I13)*$J$4</f>
        <v>0</v>
      </c>
      <c r="K13" s="42">
        <f t="shared" si="0"/>
        <v>0</v>
      </c>
      <c r="L13" s="42">
        <f t="shared" si="1"/>
        <v>0</v>
      </c>
      <c r="M13" s="29" t="s">
        <v>224</v>
      </c>
    </row>
    <row r="14" s="2" customFormat="1" ht="25.05" customHeight="1" spans="1:13">
      <c r="A14" s="58" t="s">
        <v>225</v>
      </c>
      <c r="B14" s="59" t="s">
        <v>437</v>
      </c>
      <c r="C14" s="59"/>
      <c r="D14" s="60"/>
      <c r="E14" s="60"/>
      <c r="F14" s="61"/>
      <c r="G14" s="61"/>
      <c r="H14" s="62"/>
      <c r="I14" s="62"/>
      <c r="J14" s="62"/>
      <c r="K14" s="62"/>
      <c r="L14" s="89"/>
      <c r="M14" s="62"/>
    </row>
    <row r="15" s="2" customFormat="1" ht="84" spans="1:13">
      <c r="A15" s="24">
        <v>1</v>
      </c>
      <c r="B15" s="70" t="s">
        <v>227</v>
      </c>
      <c r="C15" s="70" t="s">
        <v>228</v>
      </c>
      <c r="D15" s="189" t="s">
        <v>229</v>
      </c>
      <c r="E15" s="28" t="s">
        <v>198</v>
      </c>
      <c r="F15" s="64">
        <v>5840.232</v>
      </c>
      <c r="G15" s="65"/>
      <c r="H15" s="65"/>
      <c r="I15" s="42">
        <f>SUM(G15:H15)*$I$4</f>
        <v>0</v>
      </c>
      <c r="J15" s="42">
        <f>SUM(G15:I15)*$J$4</f>
        <v>0</v>
      </c>
      <c r="K15" s="42">
        <f t="shared" ref="K15:K23" si="2">SUM(G15:J15)</f>
        <v>0</v>
      </c>
      <c r="L15" s="42">
        <f t="shared" ref="L15:L23" si="3">F15*K15</f>
        <v>0</v>
      </c>
      <c r="M15" s="91" t="s">
        <v>418</v>
      </c>
    </row>
    <row r="16" s="2" customFormat="1" ht="96" spans="1:13">
      <c r="A16" s="24">
        <v>2</v>
      </c>
      <c r="B16" s="70" t="s">
        <v>231</v>
      </c>
      <c r="C16" s="70" t="s">
        <v>232</v>
      </c>
      <c r="D16" s="167" t="s">
        <v>233</v>
      </c>
      <c r="E16" s="28" t="s">
        <v>198</v>
      </c>
      <c r="F16" s="64">
        <v>6240.43</v>
      </c>
      <c r="G16" s="65"/>
      <c r="H16" s="65"/>
      <c r="I16" s="42">
        <f>SUM(G16:H16)*$I$4</f>
        <v>0</v>
      </c>
      <c r="J16" s="42">
        <f>SUM(G16:I16)*$J$4</f>
        <v>0</v>
      </c>
      <c r="K16" s="42">
        <f t="shared" si="2"/>
        <v>0</v>
      </c>
      <c r="L16" s="42">
        <f t="shared" si="3"/>
        <v>0</v>
      </c>
      <c r="M16" s="29" t="s">
        <v>419</v>
      </c>
    </row>
    <row r="17" s="2" customFormat="1" ht="72" spans="1:13">
      <c r="A17" s="24">
        <v>3</v>
      </c>
      <c r="B17" s="70" t="s">
        <v>235</v>
      </c>
      <c r="C17" s="70" t="s">
        <v>353</v>
      </c>
      <c r="D17" s="189" t="s">
        <v>229</v>
      </c>
      <c r="E17" s="28" t="s">
        <v>198</v>
      </c>
      <c r="F17" s="64">
        <v>171.065</v>
      </c>
      <c r="G17" s="65"/>
      <c r="H17" s="65"/>
      <c r="I17" s="42">
        <f>SUM(G17:H17)*$I$4</f>
        <v>0</v>
      </c>
      <c r="J17" s="42">
        <f>SUM(G17:I17)*$J$4</f>
        <v>0</v>
      </c>
      <c r="K17" s="42">
        <f t="shared" si="2"/>
        <v>0</v>
      </c>
      <c r="L17" s="42">
        <f t="shared" si="3"/>
        <v>0</v>
      </c>
      <c r="M17" s="91" t="s">
        <v>418</v>
      </c>
    </row>
    <row r="18" s="2" customFormat="1" ht="108" spans="1:13">
      <c r="A18" s="24">
        <v>4</v>
      </c>
      <c r="B18" s="113" t="s">
        <v>237</v>
      </c>
      <c r="C18" s="114" t="s">
        <v>238</v>
      </c>
      <c r="D18" s="167" t="s">
        <v>233</v>
      </c>
      <c r="E18" s="116" t="s">
        <v>211</v>
      </c>
      <c r="F18" s="64">
        <v>241.176</v>
      </c>
      <c r="G18" s="65"/>
      <c r="H18" s="65"/>
      <c r="I18" s="42">
        <f>SUM(G18:H18)*$I$4</f>
        <v>0</v>
      </c>
      <c r="J18" s="42">
        <f>SUM(G18:I18)*$J$4</f>
        <v>0</v>
      </c>
      <c r="K18" s="42">
        <f t="shared" si="2"/>
        <v>0</v>
      </c>
      <c r="L18" s="42">
        <f t="shared" si="3"/>
        <v>0</v>
      </c>
      <c r="M18" s="29" t="s">
        <v>419</v>
      </c>
    </row>
    <row r="19" s="2" customFormat="1" ht="132" spans="1:13">
      <c r="A19" s="24">
        <v>5</v>
      </c>
      <c r="B19" s="186" t="s">
        <v>239</v>
      </c>
      <c r="C19" s="187" t="s">
        <v>240</v>
      </c>
      <c r="D19" s="188" t="s">
        <v>233</v>
      </c>
      <c r="E19" s="127" t="s">
        <v>211</v>
      </c>
      <c r="F19" s="64">
        <v>7507.865788</v>
      </c>
      <c r="G19" s="65"/>
      <c r="H19" s="65"/>
      <c r="I19" s="42">
        <f>SUM(G19:H19)*$I$4</f>
        <v>0</v>
      </c>
      <c r="J19" s="42">
        <f>SUM(G19:I19)*$J$4</f>
        <v>0</v>
      </c>
      <c r="K19" s="42">
        <f t="shared" si="2"/>
        <v>0</v>
      </c>
      <c r="L19" s="42">
        <f t="shared" si="3"/>
        <v>0</v>
      </c>
      <c r="M19" s="29" t="s">
        <v>416</v>
      </c>
    </row>
    <row r="20" s="2" customFormat="1" ht="72" spans="1:13">
      <c r="A20" s="24">
        <v>6</v>
      </c>
      <c r="B20" s="167" t="s">
        <v>241</v>
      </c>
      <c r="C20" s="167" t="s">
        <v>242</v>
      </c>
      <c r="D20" s="167" t="s">
        <v>197</v>
      </c>
      <c r="E20" s="28" t="s">
        <v>198</v>
      </c>
      <c r="F20" s="64">
        <v>2116.598</v>
      </c>
      <c r="G20" s="65"/>
      <c r="H20" s="65"/>
      <c r="I20" s="42">
        <f>SUM(G20:H20)*$I$4</f>
        <v>0</v>
      </c>
      <c r="J20" s="42">
        <f>SUM(G20:I20)*$J$4</f>
        <v>0</v>
      </c>
      <c r="K20" s="42">
        <f t="shared" si="2"/>
        <v>0</v>
      </c>
      <c r="L20" s="42">
        <f t="shared" si="3"/>
        <v>0</v>
      </c>
      <c r="M20" s="29" t="s">
        <v>420</v>
      </c>
    </row>
    <row r="21" s="2" customFormat="1" ht="72" spans="1:13">
      <c r="A21" s="24">
        <v>8</v>
      </c>
      <c r="B21" s="70" t="s">
        <v>313</v>
      </c>
      <c r="C21" s="70" t="s">
        <v>314</v>
      </c>
      <c r="D21" s="189" t="s">
        <v>229</v>
      </c>
      <c r="E21" s="28" t="s">
        <v>198</v>
      </c>
      <c r="F21" s="64">
        <v>2232.259</v>
      </c>
      <c r="G21" s="65"/>
      <c r="H21" s="65"/>
      <c r="I21" s="42">
        <f>SUM(G21:H21)*$I$4</f>
        <v>0</v>
      </c>
      <c r="J21" s="42">
        <f>SUM(G21:I21)*$J$4</f>
        <v>0</v>
      </c>
      <c r="K21" s="42">
        <f t="shared" si="2"/>
        <v>0</v>
      </c>
      <c r="L21" s="42">
        <f t="shared" si="3"/>
        <v>0</v>
      </c>
      <c r="M21" s="91" t="s">
        <v>438</v>
      </c>
    </row>
    <row r="22" s="2" customFormat="1" ht="60" spans="1:13">
      <c r="A22" s="24">
        <v>10</v>
      </c>
      <c r="B22" s="113" t="s">
        <v>247</v>
      </c>
      <c r="C22" s="71" t="s">
        <v>248</v>
      </c>
      <c r="D22" s="196" t="s">
        <v>249</v>
      </c>
      <c r="E22" s="116" t="s">
        <v>175</v>
      </c>
      <c r="F22" s="64">
        <v>1046.85</v>
      </c>
      <c r="G22" s="65"/>
      <c r="H22" s="65"/>
      <c r="I22" s="42">
        <f>SUM(G22:H22)*$I$4</f>
        <v>0</v>
      </c>
      <c r="J22" s="42">
        <f>SUM(G22:I22)*$J$4</f>
        <v>0</v>
      </c>
      <c r="K22" s="42">
        <f t="shared" si="2"/>
        <v>0</v>
      </c>
      <c r="L22" s="42">
        <f t="shared" si="3"/>
        <v>0</v>
      </c>
      <c r="M22" s="91" t="s">
        <v>421</v>
      </c>
    </row>
    <row r="23" s="2" customFormat="1" ht="60" spans="1:13">
      <c r="A23" s="24">
        <v>11</v>
      </c>
      <c r="B23" s="113" t="s">
        <v>251</v>
      </c>
      <c r="C23" s="72" t="s">
        <v>252</v>
      </c>
      <c r="D23" s="196" t="s">
        <v>249</v>
      </c>
      <c r="E23" s="116" t="s">
        <v>175</v>
      </c>
      <c r="F23" s="64">
        <v>845.36</v>
      </c>
      <c r="G23" s="65"/>
      <c r="H23" s="65"/>
      <c r="I23" s="42">
        <f>SUM(G23:H23)*$I$4</f>
        <v>0</v>
      </c>
      <c r="J23" s="42">
        <f>SUM(G23:I23)*$J$4</f>
        <v>0</v>
      </c>
      <c r="K23" s="42">
        <f t="shared" si="2"/>
        <v>0</v>
      </c>
      <c r="L23" s="42">
        <f t="shared" si="3"/>
        <v>0</v>
      </c>
      <c r="M23" s="91" t="s">
        <v>421</v>
      </c>
    </row>
    <row r="24" s="2" customFormat="1" ht="25.05" customHeight="1" spans="1:13">
      <c r="A24" s="58" t="s">
        <v>254</v>
      </c>
      <c r="B24" s="59" t="s">
        <v>345</v>
      </c>
      <c r="C24" s="59"/>
      <c r="D24" s="60"/>
      <c r="E24" s="60"/>
      <c r="F24" s="61"/>
      <c r="G24" s="61"/>
      <c r="H24" s="62"/>
      <c r="I24" s="62"/>
      <c r="J24" s="62"/>
      <c r="K24" s="62"/>
      <c r="L24" s="89"/>
      <c r="M24" s="62"/>
    </row>
    <row r="25" s="2" customFormat="1" ht="84" spans="1:14">
      <c r="A25" s="24">
        <v>1</v>
      </c>
      <c r="B25" s="25" t="s">
        <v>256</v>
      </c>
      <c r="C25" s="118" t="s">
        <v>257</v>
      </c>
      <c r="D25" s="76" t="s">
        <v>197</v>
      </c>
      <c r="E25" s="66" t="s">
        <v>198</v>
      </c>
      <c r="F25" s="29">
        <f>11907.444-4*1.2*64</f>
        <v>11600.244</v>
      </c>
      <c r="G25" s="65"/>
      <c r="H25" s="65"/>
      <c r="I25" s="42">
        <f>SUM(G25:H25)*$I$4</f>
        <v>0</v>
      </c>
      <c r="J25" s="42">
        <f>SUM(G25:I25)*$J$4</f>
        <v>0</v>
      </c>
      <c r="K25" s="42">
        <f t="shared" ref="K25:K35" si="4">SUM(G25:J25)</f>
        <v>0</v>
      </c>
      <c r="L25" s="42">
        <f t="shared" ref="L25:L35" si="5">F25*K25</f>
        <v>0</v>
      </c>
      <c r="M25" s="29" t="s">
        <v>419</v>
      </c>
      <c r="N25" s="2"/>
    </row>
    <row r="26" s="3" customFormat="1" ht="60" spans="1:13">
      <c r="A26" s="24">
        <v>2</v>
      </c>
      <c r="B26" s="210" t="s">
        <v>439</v>
      </c>
      <c r="C26" s="211" t="s">
        <v>440</v>
      </c>
      <c r="D26" s="212" t="s">
        <v>269</v>
      </c>
      <c r="E26" s="213" t="s">
        <v>211</v>
      </c>
      <c r="F26" s="265">
        <v>731.351</v>
      </c>
      <c r="G26" s="65"/>
      <c r="H26" s="65"/>
      <c r="I26" s="42">
        <f>SUM(G26:H26)*$I$4</f>
        <v>0</v>
      </c>
      <c r="J26" s="42">
        <f>SUM(G26:I26)*$J$4</f>
        <v>0</v>
      </c>
      <c r="K26" s="42">
        <f t="shared" si="4"/>
        <v>0</v>
      </c>
      <c r="L26" s="42">
        <f t="shared" si="5"/>
        <v>0</v>
      </c>
      <c r="M26" s="29" t="s">
        <v>441</v>
      </c>
    </row>
    <row r="27" s="3" customFormat="1" ht="61.95" customHeight="1" spans="1:13">
      <c r="A27" s="107">
        <v>3</v>
      </c>
      <c r="B27" s="266" t="s">
        <v>442</v>
      </c>
      <c r="C27" s="267" t="s">
        <v>443</v>
      </c>
      <c r="D27" s="268" t="s">
        <v>444</v>
      </c>
      <c r="E27" s="269" t="s">
        <v>175</v>
      </c>
      <c r="F27" s="270">
        <v>1734.652</v>
      </c>
      <c r="G27" s="112"/>
      <c r="H27" s="112"/>
      <c r="I27" s="156">
        <f>SUM(G27:H27)*$I$4</f>
        <v>0</v>
      </c>
      <c r="J27" s="156">
        <f>SUM(G27:I27)*$J$4</f>
        <v>0</v>
      </c>
      <c r="K27" s="156">
        <f t="shared" si="4"/>
        <v>0</v>
      </c>
      <c r="L27" s="156">
        <f t="shared" si="5"/>
        <v>0</v>
      </c>
      <c r="M27" s="112" t="s">
        <v>445</v>
      </c>
    </row>
    <row r="28" s="2" customFormat="1" ht="120" spans="1:13">
      <c r="A28" s="24">
        <v>4</v>
      </c>
      <c r="B28" s="25" t="s">
        <v>259</v>
      </c>
      <c r="C28" s="63" t="s">
        <v>446</v>
      </c>
      <c r="D28" s="76" t="s">
        <v>197</v>
      </c>
      <c r="E28" s="66" t="s">
        <v>198</v>
      </c>
      <c r="F28" s="29">
        <f>5676.17-4*1.2*64</f>
        <v>5368.97</v>
      </c>
      <c r="G28" s="65"/>
      <c r="H28" s="65"/>
      <c r="I28" s="42">
        <f>SUM(G28:H28)*$I$4</f>
        <v>0</v>
      </c>
      <c r="J28" s="42">
        <f>SUM(G28:I28)*$J$4</f>
        <v>0</v>
      </c>
      <c r="K28" s="42">
        <f t="shared" si="4"/>
        <v>0</v>
      </c>
      <c r="L28" s="42">
        <f t="shared" si="5"/>
        <v>0</v>
      </c>
      <c r="M28" s="29" t="s">
        <v>410</v>
      </c>
    </row>
    <row r="29" s="3" customFormat="1" ht="108" spans="1:13">
      <c r="A29" s="107">
        <v>5</v>
      </c>
      <c r="B29" s="120" t="s">
        <v>262</v>
      </c>
      <c r="C29" s="236" t="s">
        <v>263</v>
      </c>
      <c r="D29" s="204" t="s">
        <v>264</v>
      </c>
      <c r="E29" s="122" t="s">
        <v>265</v>
      </c>
      <c r="F29" s="112">
        <v>50</v>
      </c>
      <c r="G29" s="112"/>
      <c r="H29" s="112"/>
      <c r="I29" s="156">
        <f>SUM(G29:H29)*$I$4</f>
        <v>0</v>
      </c>
      <c r="J29" s="156">
        <f>SUM(G29:I29)*$J$4</f>
        <v>0</v>
      </c>
      <c r="K29" s="156">
        <f t="shared" si="4"/>
        <v>0</v>
      </c>
      <c r="L29" s="156">
        <f t="shared" si="5"/>
        <v>0</v>
      </c>
      <c r="M29" s="158" t="s">
        <v>426</v>
      </c>
    </row>
    <row r="30" s="3" customFormat="1" ht="28.5" spans="1:13">
      <c r="A30" s="107">
        <v>8</v>
      </c>
      <c r="B30" s="237" t="s">
        <v>267</v>
      </c>
      <c r="C30" s="230" t="s">
        <v>268</v>
      </c>
      <c r="D30" s="238" t="s">
        <v>269</v>
      </c>
      <c r="E30" s="239" t="s">
        <v>211</v>
      </c>
      <c r="F30" s="112">
        <v>72.14</v>
      </c>
      <c r="G30" s="112"/>
      <c r="H30" s="112"/>
      <c r="I30" s="156">
        <f>SUM(G30:H30)*$I$4</f>
        <v>0</v>
      </c>
      <c r="J30" s="156">
        <f>SUM(G30:I30)*$J$4</f>
        <v>0</v>
      </c>
      <c r="K30" s="156">
        <f t="shared" si="4"/>
        <v>0</v>
      </c>
      <c r="L30" s="156">
        <f t="shared" si="5"/>
        <v>0</v>
      </c>
      <c r="M30" s="158" t="s">
        <v>447</v>
      </c>
    </row>
    <row r="31" s="2" customFormat="1" ht="60" spans="1:13">
      <c r="A31" s="24">
        <v>9</v>
      </c>
      <c r="B31" s="273" t="s">
        <v>271</v>
      </c>
      <c r="C31" s="274" t="s">
        <v>346</v>
      </c>
      <c r="D31" s="275" t="s">
        <v>273</v>
      </c>
      <c r="E31" s="276" t="s">
        <v>175</v>
      </c>
      <c r="F31" s="29">
        <v>847.71</v>
      </c>
      <c r="G31" s="65"/>
      <c r="H31" s="65"/>
      <c r="I31" s="42">
        <f>SUM(G31:H31)*$I$4</f>
        <v>0</v>
      </c>
      <c r="J31" s="42">
        <f>SUM(G31:I31)*$J$4</f>
        <v>0</v>
      </c>
      <c r="K31" s="42">
        <f t="shared" si="4"/>
        <v>0</v>
      </c>
      <c r="L31" s="42">
        <f t="shared" si="5"/>
        <v>0</v>
      </c>
      <c r="M31" s="29" t="s">
        <v>274</v>
      </c>
    </row>
    <row r="32" s="2" customFormat="1" ht="60" spans="1:13">
      <c r="A32" s="24">
        <v>10</v>
      </c>
      <c r="B32" s="273" t="s">
        <v>271</v>
      </c>
      <c r="C32" s="274" t="s">
        <v>448</v>
      </c>
      <c r="D32" s="275" t="s">
        <v>273</v>
      </c>
      <c r="E32" s="276" t="s">
        <v>175</v>
      </c>
      <c r="F32" s="29">
        <f>2394.13</f>
        <v>2394.13</v>
      </c>
      <c r="G32" s="65"/>
      <c r="H32" s="65"/>
      <c r="I32" s="42">
        <f>SUM(G32:H32)*$I$4</f>
        <v>0</v>
      </c>
      <c r="J32" s="42">
        <f>SUM(G32:I32)*$J$4</f>
        <v>0</v>
      </c>
      <c r="K32" s="42">
        <f t="shared" si="4"/>
        <v>0</v>
      </c>
      <c r="L32" s="42">
        <f t="shared" si="5"/>
        <v>0</v>
      </c>
      <c r="M32" s="29" t="s">
        <v>274</v>
      </c>
    </row>
    <row r="33" s="97" customFormat="1" ht="36" spans="1:13">
      <c r="A33" s="24">
        <v>11</v>
      </c>
      <c r="B33" s="128" t="s">
        <v>449</v>
      </c>
      <c r="C33" s="217" t="s">
        <v>450</v>
      </c>
      <c r="D33" s="248" t="s">
        <v>349</v>
      </c>
      <c r="E33" s="131" t="s">
        <v>198</v>
      </c>
      <c r="F33" s="105">
        <v>23.54</v>
      </c>
      <c r="G33" s="29"/>
      <c r="H33" s="29"/>
      <c r="I33" s="42">
        <f>SUM(G33:H33)*$I$4</f>
        <v>0</v>
      </c>
      <c r="J33" s="42">
        <f>SUM(G33:I33)*$J$4</f>
        <v>0</v>
      </c>
      <c r="K33" s="42">
        <f t="shared" si="4"/>
        <v>0</v>
      </c>
      <c r="L33" s="42">
        <f t="shared" si="5"/>
        <v>0</v>
      </c>
      <c r="M33" s="29" t="s">
        <v>274</v>
      </c>
    </row>
    <row r="34" s="97" customFormat="1" ht="60" spans="1:13">
      <c r="A34" s="24">
        <v>12</v>
      </c>
      <c r="B34" s="128" t="s">
        <v>451</v>
      </c>
      <c r="C34" s="217" t="s">
        <v>452</v>
      </c>
      <c r="D34" s="248" t="s">
        <v>349</v>
      </c>
      <c r="E34" s="131" t="s">
        <v>198</v>
      </c>
      <c r="F34" s="105">
        <v>12.78</v>
      </c>
      <c r="G34" s="29"/>
      <c r="H34" s="29"/>
      <c r="I34" s="42">
        <f>SUM(G34:H34)*$I$4</f>
        <v>0</v>
      </c>
      <c r="J34" s="42">
        <f>SUM(G34:I34)*$J$4</f>
        <v>0</v>
      </c>
      <c r="K34" s="42">
        <f t="shared" si="4"/>
        <v>0</v>
      </c>
      <c r="L34" s="42">
        <f t="shared" si="5"/>
        <v>0</v>
      </c>
      <c r="M34" s="29" t="s">
        <v>441</v>
      </c>
    </row>
    <row r="35" s="3" customFormat="1" ht="36" spans="1:13">
      <c r="A35" s="107">
        <v>16</v>
      </c>
      <c r="B35" s="143" t="s">
        <v>290</v>
      </c>
      <c r="C35" s="144" t="s">
        <v>291</v>
      </c>
      <c r="D35" s="230" t="s">
        <v>292</v>
      </c>
      <c r="E35" s="146" t="s">
        <v>138</v>
      </c>
      <c r="F35" s="270">
        <v>38</v>
      </c>
      <c r="G35" s="112"/>
      <c r="H35" s="112"/>
      <c r="I35" s="156">
        <f>SUM(G35:H35)*$I$4</f>
        <v>0</v>
      </c>
      <c r="J35" s="156">
        <f>SUM(G35:I35)*$J$4</f>
        <v>0</v>
      </c>
      <c r="K35" s="156">
        <f t="shared" si="4"/>
        <v>0</v>
      </c>
      <c r="L35" s="156">
        <f t="shared" si="5"/>
        <v>0</v>
      </c>
      <c r="M35" s="112"/>
    </row>
    <row r="36" ht="25.05" customHeight="1" spans="1:13">
      <c r="A36" s="61" t="s">
        <v>293</v>
      </c>
      <c r="B36" s="59" t="s">
        <v>294</v>
      </c>
      <c r="C36" s="59"/>
      <c r="D36" s="60"/>
      <c r="E36" s="60"/>
      <c r="F36" s="61"/>
      <c r="G36" s="61"/>
      <c r="H36" s="62"/>
      <c r="I36" s="62"/>
      <c r="J36" s="62"/>
      <c r="K36" s="62"/>
      <c r="L36" s="89"/>
      <c r="M36" s="62"/>
    </row>
    <row r="37" s="3" customFormat="1" ht="21" customHeight="1" spans="1:13">
      <c r="A37" s="24">
        <v>2</v>
      </c>
      <c r="B37" s="27" t="s">
        <v>295</v>
      </c>
      <c r="C37" s="27" t="s">
        <v>296</v>
      </c>
      <c r="D37" s="27" t="s">
        <v>297</v>
      </c>
      <c r="E37" s="28" t="s">
        <v>198</v>
      </c>
      <c r="F37" s="29">
        <v>14555.83</v>
      </c>
      <c r="G37" s="65"/>
      <c r="H37" s="65"/>
      <c r="I37" s="42">
        <f>SUM(G37:H37)*$I$4</f>
        <v>0</v>
      </c>
      <c r="J37" s="42">
        <f>SUM(G37:I37)*$J$4</f>
        <v>0</v>
      </c>
      <c r="K37" s="42">
        <f>SUM(G37:J37)</f>
        <v>0</v>
      </c>
      <c r="L37" s="42">
        <f t="shared" ref="L37:L39" si="6">F37*K37</f>
        <v>0</v>
      </c>
      <c r="M37" s="91" t="s">
        <v>298</v>
      </c>
    </row>
    <row r="38" s="3" customFormat="1" ht="24" spans="1:13">
      <c r="A38" s="24">
        <v>3</v>
      </c>
      <c r="B38" s="27" t="s">
        <v>299</v>
      </c>
      <c r="C38" s="27" t="s">
        <v>300</v>
      </c>
      <c r="D38" s="27" t="s">
        <v>297</v>
      </c>
      <c r="E38" s="28" t="s">
        <v>198</v>
      </c>
      <c r="F38" s="29">
        <f>F37</f>
        <v>14555.83</v>
      </c>
      <c r="G38" s="65"/>
      <c r="H38" s="65"/>
      <c r="I38" s="42">
        <f>SUM(G38:H38)*$I$4</f>
        <v>0</v>
      </c>
      <c r="J38" s="42">
        <f>SUM(G38:I38)*$J$4</f>
        <v>0</v>
      </c>
      <c r="K38" s="42">
        <f>SUM(G38:J38)</f>
        <v>0</v>
      </c>
      <c r="L38" s="42">
        <f t="shared" si="6"/>
        <v>0</v>
      </c>
      <c r="M38" s="91" t="s">
        <v>301</v>
      </c>
    </row>
    <row r="39" s="3" customFormat="1" ht="21" customHeight="1" spans="1:13">
      <c r="A39" s="24">
        <v>4</v>
      </c>
      <c r="B39" s="27" t="s">
        <v>302</v>
      </c>
      <c r="C39" s="27" t="s">
        <v>302</v>
      </c>
      <c r="D39" s="27" t="s">
        <v>297</v>
      </c>
      <c r="E39" s="28" t="s">
        <v>198</v>
      </c>
      <c r="F39" s="29">
        <f>F38</f>
        <v>14555.83</v>
      </c>
      <c r="G39" s="65"/>
      <c r="H39" s="65"/>
      <c r="I39" s="42">
        <f>SUM(G39:H39)*$I$4</f>
        <v>0</v>
      </c>
      <c r="J39" s="42">
        <f>SUM(G39:I39)*$J$4</f>
        <v>0</v>
      </c>
      <c r="K39" s="42">
        <f>SUM(G39:J39)</f>
        <v>0</v>
      </c>
      <c r="L39" s="42">
        <f t="shared" si="6"/>
        <v>0</v>
      </c>
      <c r="M39" s="91" t="s">
        <v>303</v>
      </c>
    </row>
    <row r="40" ht="24.9" customHeight="1" spans="1:13">
      <c r="A40" s="77"/>
      <c r="B40" s="218" t="s">
        <v>63</v>
      </c>
      <c r="C40" s="219"/>
      <c r="D40" s="80"/>
      <c r="E40" s="80"/>
      <c r="F40" s="81"/>
      <c r="G40" s="81"/>
      <c r="H40" s="82"/>
      <c r="I40" s="82"/>
      <c r="J40" s="82"/>
      <c r="K40" s="82"/>
      <c r="L40" s="95">
        <f>SUM(L1:L39)</f>
        <v>0</v>
      </c>
      <c r="M40" s="82"/>
    </row>
    <row r="41" ht="20.1" customHeight="1" spans="1:7">
      <c r="A41" s="83"/>
      <c r="B41" s="83"/>
      <c r="C41" s="83"/>
      <c r="D41" s="83"/>
      <c r="E41" s="83"/>
      <c r="F41" s="85"/>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3" name="区域2_1_1_3_2_1"/>
  </protectedRanges>
  <autoFilter ref="A2:O40">
    <extLst/>
  </autoFilter>
  <mergeCells count="18">
    <mergeCell ref="A1:M1"/>
    <mergeCell ref="G2:J2"/>
    <mergeCell ref="B5:C5"/>
    <mergeCell ref="B14:C14"/>
    <mergeCell ref="B24:C24"/>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60"/>
  <sheetViews>
    <sheetView view="pageBreakPreview" zoomScale="90" zoomScaleNormal="100" workbookViewId="0">
      <pane ySplit="4" topLeftCell="A17" activePane="bottomLeft" state="frozen"/>
      <selection/>
      <selection pane="bottomLeft" activeCell="M18" sqref="M18"/>
    </sheetView>
  </sheetViews>
  <sheetFormatPr defaultColWidth="9" defaultRowHeight="14"/>
  <cols>
    <col min="1" max="1" width="5.66363636363636" style="47" customWidth="1"/>
    <col min="2" max="2" width="15.6636363636364" style="47" customWidth="1"/>
    <col min="3" max="3" width="22.5545454545455" style="47" customWidth="1"/>
    <col min="4" max="4" width="20.6636363636364" style="47" customWidth="1"/>
    <col min="5" max="5" width="5.66363636363636" style="47" customWidth="1"/>
    <col min="6" max="6" width="10.6636363636364" style="49" customWidth="1"/>
    <col min="7" max="7" width="10.6636363636364" style="47" customWidth="1"/>
    <col min="8" max="12" width="10.6636363636364" style="50" customWidth="1"/>
    <col min="13" max="13" width="12.6636363636364" style="50" customWidth="1"/>
    <col min="14" max="14" width="9" style="50"/>
    <col min="15" max="15" width="9.44545454545455" style="50"/>
    <col min="16" max="16384" width="9" style="50"/>
  </cols>
  <sheetData>
    <row r="1" s="46" customFormat="1" ht="30" customHeight="1" spans="1:13">
      <c r="A1" s="52" t="s">
        <v>115</v>
      </c>
      <c r="B1" s="52"/>
      <c r="C1" s="52"/>
      <c r="D1" s="52"/>
      <c r="E1" s="52"/>
      <c r="F1" s="54"/>
      <c r="G1" s="52"/>
      <c r="H1" s="52"/>
      <c r="I1" s="52"/>
      <c r="J1" s="52"/>
      <c r="K1" s="52"/>
      <c r="L1" s="52"/>
      <c r="M1" s="52"/>
    </row>
    <row r="2" ht="20.1" customHeight="1" spans="1:13">
      <c r="A2" s="55" t="s">
        <v>97</v>
      </c>
      <c r="B2" s="55" t="s">
        <v>182</v>
      </c>
      <c r="C2" s="55" t="s">
        <v>183</v>
      </c>
      <c r="D2" s="55" t="s">
        <v>184</v>
      </c>
      <c r="E2" s="55" t="s">
        <v>125</v>
      </c>
      <c r="F2" s="56" t="s">
        <v>185</v>
      </c>
      <c r="G2" s="55" t="s">
        <v>186</v>
      </c>
      <c r="H2" s="57"/>
      <c r="I2" s="55"/>
      <c r="J2" s="56"/>
      <c r="K2" s="197" t="s">
        <v>187</v>
      </c>
      <c r="L2" s="56" t="s">
        <v>188</v>
      </c>
      <c r="M2" s="55" t="s">
        <v>43</v>
      </c>
    </row>
    <row r="3" ht="20.1" customHeight="1" spans="1:13">
      <c r="A3" s="55"/>
      <c r="B3" s="55"/>
      <c r="C3" s="55"/>
      <c r="D3" s="55"/>
      <c r="E3" s="55"/>
      <c r="F3" s="56"/>
      <c r="G3" s="162" t="s">
        <v>189</v>
      </c>
      <c r="H3" s="163" t="s">
        <v>190</v>
      </c>
      <c r="I3" s="56" t="s">
        <v>191</v>
      </c>
      <c r="J3" s="56" t="s">
        <v>192</v>
      </c>
      <c r="K3" s="198"/>
      <c r="L3" s="56"/>
      <c r="M3" s="55"/>
    </row>
    <row r="4" ht="20.1" customHeight="1" spans="1:13">
      <c r="A4" s="55"/>
      <c r="B4" s="55"/>
      <c r="C4" s="55"/>
      <c r="D4" s="55"/>
      <c r="E4" s="55"/>
      <c r="F4" s="56"/>
      <c r="G4" s="55"/>
      <c r="H4" s="162"/>
      <c r="I4" s="88"/>
      <c r="J4" s="88"/>
      <c r="K4" s="199"/>
      <c r="L4" s="56"/>
      <c r="M4" s="55"/>
    </row>
    <row r="5" ht="25.05" customHeight="1" spans="1:13">
      <c r="A5" s="58" t="s">
        <v>193</v>
      </c>
      <c r="B5" s="59" t="s">
        <v>327</v>
      </c>
      <c r="C5" s="59"/>
      <c r="D5" s="60"/>
      <c r="E5" s="60"/>
      <c r="F5" s="61"/>
      <c r="G5" s="61"/>
      <c r="H5" s="62"/>
      <c r="I5" s="62"/>
      <c r="J5" s="62"/>
      <c r="K5" s="62"/>
      <c r="L5" s="89"/>
      <c r="M5" s="62"/>
    </row>
    <row r="6" s="2" customFormat="1" ht="120" spans="1:13">
      <c r="A6" s="24">
        <v>1</v>
      </c>
      <c r="B6" s="63" t="s">
        <v>195</v>
      </c>
      <c r="C6" s="63" t="s">
        <v>433</v>
      </c>
      <c r="D6" s="76" t="s">
        <v>197</v>
      </c>
      <c r="E6" s="166" t="s">
        <v>198</v>
      </c>
      <c r="F6" s="64">
        <f>12015.134+643.67-F7</f>
        <v>12121.594</v>
      </c>
      <c r="G6" s="65"/>
      <c r="H6" s="65"/>
      <c r="I6" s="42">
        <f>SUM(G6:H6)*$I$4</f>
        <v>0</v>
      </c>
      <c r="J6" s="42">
        <f>SUM(G6:I6)*$J$4</f>
        <v>0</v>
      </c>
      <c r="K6" s="42">
        <f t="shared" ref="K6:K13" si="0">SUM(G6:J6)</f>
        <v>0</v>
      </c>
      <c r="L6" s="42">
        <f t="shared" ref="L6:L13" si="1">F6*K6</f>
        <v>0</v>
      </c>
      <c r="M6" s="91" t="s">
        <v>430</v>
      </c>
    </row>
    <row r="7" s="2" customFormat="1" ht="120" spans="1:13">
      <c r="A7" s="24">
        <v>2</v>
      </c>
      <c r="B7" s="63" t="s">
        <v>305</v>
      </c>
      <c r="C7" s="63" t="s">
        <v>329</v>
      </c>
      <c r="D7" s="76" t="s">
        <v>330</v>
      </c>
      <c r="E7" s="225" t="s">
        <v>198</v>
      </c>
      <c r="F7" s="106">
        <f>537.21</f>
        <v>537.21</v>
      </c>
      <c r="G7" s="65"/>
      <c r="H7" s="65"/>
      <c r="I7" s="42">
        <f>SUM(G7:H7)*$I$4</f>
        <v>0</v>
      </c>
      <c r="J7" s="42">
        <f>SUM(G7:I7)*$J$4</f>
        <v>0</v>
      </c>
      <c r="K7" s="42">
        <f t="shared" si="0"/>
        <v>0</v>
      </c>
      <c r="L7" s="42">
        <f t="shared" si="1"/>
        <v>0</v>
      </c>
      <c r="M7" s="29" t="s">
        <v>274</v>
      </c>
    </row>
    <row r="8" s="97" customFormat="1" ht="120" spans="1:13">
      <c r="A8" s="24">
        <v>3</v>
      </c>
      <c r="B8" s="63" t="s">
        <v>195</v>
      </c>
      <c r="C8" s="63" t="s">
        <v>200</v>
      </c>
      <c r="D8" s="76" t="s">
        <v>197</v>
      </c>
      <c r="E8" s="225" t="s">
        <v>198</v>
      </c>
      <c r="F8" s="64">
        <f>(2.8*2+1.2)*5</f>
        <v>34</v>
      </c>
      <c r="G8" s="29"/>
      <c r="H8" s="29"/>
      <c r="I8" s="42">
        <f>SUM(G8:H8)*$I$4</f>
        <v>0</v>
      </c>
      <c r="J8" s="42">
        <f>SUM(G8:I8)*$J$4</f>
        <v>0</v>
      </c>
      <c r="K8" s="42">
        <f t="shared" si="0"/>
        <v>0</v>
      </c>
      <c r="L8" s="42">
        <f t="shared" si="1"/>
        <v>0</v>
      </c>
      <c r="M8" s="29" t="s">
        <v>274</v>
      </c>
    </row>
    <row r="9" s="2" customFormat="1" ht="96" spans="1:13">
      <c r="A9" s="24">
        <v>6</v>
      </c>
      <c r="B9" s="63" t="s">
        <v>219</v>
      </c>
      <c r="C9" s="63" t="s">
        <v>307</v>
      </c>
      <c r="D9" s="63" t="s">
        <v>197</v>
      </c>
      <c r="E9" s="63" t="s">
        <v>198</v>
      </c>
      <c r="F9" s="64">
        <v>99.39</v>
      </c>
      <c r="G9" s="65"/>
      <c r="H9" s="65"/>
      <c r="I9" s="42">
        <f>SUM(G9:H9)*$I$4</f>
        <v>0</v>
      </c>
      <c r="J9" s="42">
        <f>SUM(G9:I9)*$J$4</f>
        <v>0</v>
      </c>
      <c r="K9" s="42">
        <f t="shared" si="0"/>
        <v>0</v>
      </c>
      <c r="L9" s="42">
        <f t="shared" si="1"/>
        <v>0</v>
      </c>
      <c r="M9" s="29" t="s">
        <v>453</v>
      </c>
    </row>
    <row r="10" s="2" customFormat="1" ht="48" spans="1:13">
      <c r="A10" s="24">
        <v>7</v>
      </c>
      <c r="B10" s="63" t="s">
        <v>208</v>
      </c>
      <c r="C10" s="63" t="s">
        <v>334</v>
      </c>
      <c r="D10" s="63" t="s">
        <v>210</v>
      </c>
      <c r="E10" s="63" t="s">
        <v>211</v>
      </c>
      <c r="F10" s="106" t="e">
        <f>#REF!</f>
        <v>#REF!</v>
      </c>
      <c r="G10" s="65"/>
      <c r="H10" s="65"/>
      <c r="I10" s="42">
        <f>SUM(G10:H10)*$I$4</f>
        <v>0</v>
      </c>
      <c r="J10" s="42">
        <f>SUM(G10:I10)*$J$4</f>
        <v>0</v>
      </c>
      <c r="K10" s="42">
        <f t="shared" si="0"/>
        <v>0</v>
      </c>
      <c r="L10" s="42" t="e">
        <f t="shared" si="1"/>
        <v>#REF!</v>
      </c>
      <c r="M10" s="29" t="s">
        <v>212</v>
      </c>
    </row>
    <row r="11" s="2" customFormat="1" ht="48" spans="1:13">
      <c r="A11" s="24">
        <v>8</v>
      </c>
      <c r="B11" s="63" t="s">
        <v>213</v>
      </c>
      <c r="C11" s="63" t="s">
        <v>335</v>
      </c>
      <c r="D11" s="63" t="s">
        <v>215</v>
      </c>
      <c r="E11" s="63" t="s">
        <v>211</v>
      </c>
      <c r="F11" s="106" t="e">
        <f>#REF!</f>
        <v>#REF!</v>
      </c>
      <c r="G11" s="65"/>
      <c r="H11" s="65"/>
      <c r="I11" s="42">
        <f>SUM(G11:H11)*$I$4</f>
        <v>0</v>
      </c>
      <c r="J11" s="42">
        <f>SUM(G11:I11)*$J$4</f>
        <v>0</v>
      </c>
      <c r="K11" s="42">
        <f t="shared" si="0"/>
        <v>0</v>
      </c>
      <c r="L11" s="42" t="e">
        <f t="shared" si="1"/>
        <v>#REF!</v>
      </c>
      <c r="M11" s="29" t="s">
        <v>212</v>
      </c>
    </row>
    <row r="12" s="97" customFormat="1" ht="24" spans="1:13">
      <c r="A12" s="24">
        <v>9</v>
      </c>
      <c r="B12" s="63" t="s">
        <v>434</v>
      </c>
      <c r="C12" s="63" t="s">
        <v>435</v>
      </c>
      <c r="D12" s="63" t="s">
        <v>210</v>
      </c>
      <c r="E12" s="63" t="s">
        <v>211</v>
      </c>
      <c r="F12" s="64">
        <v>2210.47</v>
      </c>
      <c r="G12" s="29"/>
      <c r="H12" s="29"/>
      <c r="I12" s="42">
        <f>SUM(G12:H12)*$I$4</f>
        <v>0</v>
      </c>
      <c r="J12" s="42">
        <f>SUM(G12:I12)*$J$4</f>
        <v>0</v>
      </c>
      <c r="K12" s="42">
        <f t="shared" si="0"/>
        <v>0</v>
      </c>
      <c r="L12" s="42">
        <f t="shared" si="1"/>
        <v>0</v>
      </c>
      <c r="M12" s="29" t="s">
        <v>436</v>
      </c>
    </row>
    <row r="13" s="2" customFormat="1" ht="37.95" customHeight="1" spans="1:13">
      <c r="A13" s="24">
        <v>10</v>
      </c>
      <c r="B13" s="63" t="s">
        <v>221</v>
      </c>
      <c r="C13" s="63" t="s">
        <v>222</v>
      </c>
      <c r="D13" s="63" t="s">
        <v>223</v>
      </c>
      <c r="E13" s="63" t="s">
        <v>178</v>
      </c>
      <c r="F13" s="64">
        <f>9.2*4*5*0.4</f>
        <v>73.6</v>
      </c>
      <c r="G13" s="29"/>
      <c r="H13" s="29"/>
      <c r="I13" s="42">
        <f>SUM(G13:H13)*$I$4</f>
        <v>0</v>
      </c>
      <c r="J13" s="42">
        <f>SUM(G13:I13)*$J$4</f>
        <v>0</v>
      </c>
      <c r="K13" s="42">
        <f t="shared" si="0"/>
        <v>0</v>
      </c>
      <c r="L13" s="42">
        <f t="shared" si="1"/>
        <v>0</v>
      </c>
      <c r="M13" s="29" t="s">
        <v>224</v>
      </c>
    </row>
    <row r="14" s="2" customFormat="1" ht="25.05" customHeight="1" spans="1:13">
      <c r="A14" s="58" t="s">
        <v>225</v>
      </c>
      <c r="B14" s="59" t="s">
        <v>437</v>
      </c>
      <c r="C14" s="59"/>
      <c r="D14" s="60"/>
      <c r="E14" s="60"/>
      <c r="F14" s="61"/>
      <c r="G14" s="61"/>
      <c r="H14" s="62"/>
      <c r="I14" s="62"/>
      <c r="J14" s="62"/>
      <c r="K14" s="62"/>
      <c r="L14" s="89"/>
      <c r="M14" s="62"/>
    </row>
    <row r="15" s="2" customFormat="1" ht="84" spans="1:13">
      <c r="A15" s="24">
        <v>1</v>
      </c>
      <c r="B15" s="70" t="s">
        <v>227</v>
      </c>
      <c r="C15" s="70" t="s">
        <v>228</v>
      </c>
      <c r="D15" s="189" t="s">
        <v>229</v>
      </c>
      <c r="E15" s="28" t="s">
        <v>198</v>
      </c>
      <c r="F15" s="64">
        <v>5840.232</v>
      </c>
      <c r="G15" s="65"/>
      <c r="H15" s="65"/>
      <c r="I15" s="42">
        <f>SUM(G15:H15)*$I$4</f>
        <v>0</v>
      </c>
      <c r="J15" s="42">
        <f>SUM(G15:I15)*$J$4</f>
        <v>0</v>
      </c>
      <c r="K15" s="42">
        <f t="shared" ref="K15:K23" si="2">SUM(G15:J15)</f>
        <v>0</v>
      </c>
      <c r="L15" s="42">
        <f t="shared" ref="L15:L23" si="3">F15*K15</f>
        <v>0</v>
      </c>
      <c r="M15" s="91" t="s">
        <v>418</v>
      </c>
    </row>
    <row r="16" s="2" customFormat="1" ht="96" spans="1:13">
      <c r="A16" s="24">
        <v>2</v>
      </c>
      <c r="B16" s="70" t="s">
        <v>231</v>
      </c>
      <c r="C16" s="70" t="s">
        <v>232</v>
      </c>
      <c r="D16" s="167" t="s">
        <v>233</v>
      </c>
      <c r="E16" s="28" t="s">
        <v>198</v>
      </c>
      <c r="F16" s="64">
        <v>6240.43</v>
      </c>
      <c r="G16" s="65"/>
      <c r="H16" s="65"/>
      <c r="I16" s="42">
        <f>SUM(G16:H16)*$I$4</f>
        <v>0</v>
      </c>
      <c r="J16" s="42">
        <f>SUM(G16:I16)*$J$4</f>
        <v>0</v>
      </c>
      <c r="K16" s="42">
        <f t="shared" si="2"/>
        <v>0</v>
      </c>
      <c r="L16" s="42">
        <f t="shared" si="3"/>
        <v>0</v>
      </c>
      <c r="M16" s="29" t="s">
        <v>419</v>
      </c>
    </row>
    <row r="17" s="2" customFormat="1" ht="72" spans="1:13">
      <c r="A17" s="24">
        <v>3</v>
      </c>
      <c r="B17" s="70" t="s">
        <v>235</v>
      </c>
      <c r="C17" s="70" t="s">
        <v>353</v>
      </c>
      <c r="D17" s="189" t="s">
        <v>229</v>
      </c>
      <c r="E17" s="28" t="s">
        <v>198</v>
      </c>
      <c r="F17" s="64">
        <v>171.065</v>
      </c>
      <c r="G17" s="65"/>
      <c r="H17" s="65"/>
      <c r="I17" s="42">
        <f>SUM(G17:H17)*$I$4</f>
        <v>0</v>
      </c>
      <c r="J17" s="42">
        <f>SUM(G17:I17)*$J$4</f>
        <v>0</v>
      </c>
      <c r="K17" s="42">
        <f t="shared" si="2"/>
        <v>0</v>
      </c>
      <c r="L17" s="42">
        <f t="shared" si="3"/>
        <v>0</v>
      </c>
      <c r="M17" s="91" t="s">
        <v>418</v>
      </c>
    </row>
    <row r="18" s="2" customFormat="1" ht="108" spans="1:13">
      <c r="A18" s="24">
        <v>4</v>
      </c>
      <c r="B18" s="113" t="s">
        <v>237</v>
      </c>
      <c r="C18" s="114" t="s">
        <v>238</v>
      </c>
      <c r="D18" s="167" t="s">
        <v>233</v>
      </c>
      <c r="E18" s="116" t="s">
        <v>211</v>
      </c>
      <c r="F18" s="64">
        <v>241.176</v>
      </c>
      <c r="G18" s="65"/>
      <c r="H18" s="65"/>
      <c r="I18" s="42">
        <f>SUM(G18:H18)*$I$4</f>
        <v>0</v>
      </c>
      <c r="J18" s="42">
        <f>SUM(G18:I18)*$J$4</f>
        <v>0</v>
      </c>
      <c r="K18" s="42">
        <f t="shared" si="2"/>
        <v>0</v>
      </c>
      <c r="L18" s="42">
        <f t="shared" si="3"/>
        <v>0</v>
      </c>
      <c r="M18" s="29" t="s">
        <v>419</v>
      </c>
    </row>
    <row r="19" s="2" customFormat="1" ht="144" spans="1:13">
      <c r="A19" s="24">
        <v>5</v>
      </c>
      <c r="B19" s="186" t="s">
        <v>239</v>
      </c>
      <c r="C19" s="187" t="s">
        <v>240</v>
      </c>
      <c r="D19" s="188" t="s">
        <v>233</v>
      </c>
      <c r="E19" s="127" t="s">
        <v>211</v>
      </c>
      <c r="F19" s="64">
        <v>7507.865788</v>
      </c>
      <c r="G19" s="65"/>
      <c r="H19" s="65"/>
      <c r="I19" s="42">
        <f>SUM(G19:H19)*$I$4</f>
        <v>0</v>
      </c>
      <c r="J19" s="42">
        <f>SUM(G19:I19)*$J$4</f>
        <v>0</v>
      </c>
      <c r="K19" s="42">
        <f t="shared" si="2"/>
        <v>0</v>
      </c>
      <c r="L19" s="42">
        <f t="shared" si="3"/>
        <v>0</v>
      </c>
      <c r="M19" s="29" t="s">
        <v>419</v>
      </c>
    </row>
    <row r="20" s="2" customFormat="1" ht="72" spans="1:13">
      <c r="A20" s="24">
        <v>6</v>
      </c>
      <c r="B20" s="167" t="s">
        <v>241</v>
      </c>
      <c r="C20" s="167" t="s">
        <v>242</v>
      </c>
      <c r="D20" s="167" t="s">
        <v>197</v>
      </c>
      <c r="E20" s="28" t="s">
        <v>198</v>
      </c>
      <c r="F20" s="64">
        <v>2116.598</v>
      </c>
      <c r="G20" s="65"/>
      <c r="H20" s="65"/>
      <c r="I20" s="42">
        <f>SUM(G20:H20)*$I$4</f>
        <v>0</v>
      </c>
      <c r="J20" s="42">
        <f>SUM(G20:I20)*$J$4</f>
        <v>0</v>
      </c>
      <c r="K20" s="42">
        <f t="shared" si="2"/>
        <v>0</v>
      </c>
      <c r="L20" s="42">
        <f t="shared" si="3"/>
        <v>0</v>
      </c>
      <c r="M20" s="29" t="s">
        <v>420</v>
      </c>
    </row>
    <row r="21" s="2" customFormat="1" ht="72" spans="1:13">
      <c r="A21" s="24">
        <v>8</v>
      </c>
      <c r="B21" s="70" t="s">
        <v>313</v>
      </c>
      <c r="C21" s="70" t="s">
        <v>314</v>
      </c>
      <c r="D21" s="189" t="s">
        <v>229</v>
      </c>
      <c r="E21" s="28" t="s">
        <v>198</v>
      </c>
      <c r="F21" s="64">
        <v>2232.259</v>
      </c>
      <c r="G21" s="65"/>
      <c r="H21" s="65"/>
      <c r="I21" s="42">
        <f>SUM(G21:H21)*$I$4</f>
        <v>0</v>
      </c>
      <c r="J21" s="42">
        <f>SUM(G21:I21)*$J$4</f>
        <v>0</v>
      </c>
      <c r="K21" s="42">
        <f t="shared" si="2"/>
        <v>0</v>
      </c>
      <c r="L21" s="42">
        <f t="shared" si="3"/>
        <v>0</v>
      </c>
      <c r="M21" s="91" t="s">
        <v>438</v>
      </c>
    </row>
    <row r="22" s="2" customFormat="1" ht="72" spans="1:13">
      <c r="A22" s="24">
        <v>10</v>
      </c>
      <c r="B22" s="113" t="s">
        <v>247</v>
      </c>
      <c r="C22" s="71" t="s">
        <v>248</v>
      </c>
      <c r="D22" s="196" t="s">
        <v>249</v>
      </c>
      <c r="E22" s="116" t="s">
        <v>175</v>
      </c>
      <c r="F22" s="64">
        <v>1046.85</v>
      </c>
      <c r="G22" s="65"/>
      <c r="H22" s="65"/>
      <c r="I22" s="42">
        <f>SUM(G22:H22)*$I$4</f>
        <v>0</v>
      </c>
      <c r="J22" s="42">
        <f>SUM(G22:I22)*$J$4</f>
        <v>0</v>
      </c>
      <c r="K22" s="42">
        <f t="shared" si="2"/>
        <v>0</v>
      </c>
      <c r="L22" s="42">
        <f t="shared" si="3"/>
        <v>0</v>
      </c>
      <c r="M22" s="91" t="s">
        <v>421</v>
      </c>
    </row>
    <row r="23" s="2" customFormat="1" ht="72" spans="1:13">
      <c r="A23" s="24">
        <v>11</v>
      </c>
      <c r="B23" s="113" t="s">
        <v>251</v>
      </c>
      <c r="C23" s="72" t="s">
        <v>252</v>
      </c>
      <c r="D23" s="196" t="s">
        <v>249</v>
      </c>
      <c r="E23" s="116" t="s">
        <v>175</v>
      </c>
      <c r="F23" s="64">
        <v>845.36</v>
      </c>
      <c r="G23" s="65"/>
      <c r="H23" s="65"/>
      <c r="I23" s="42">
        <f>SUM(G23:H23)*$I$4</f>
        <v>0</v>
      </c>
      <c r="J23" s="42">
        <f>SUM(G23:I23)*$J$4</f>
        <v>0</v>
      </c>
      <c r="K23" s="42">
        <f t="shared" si="2"/>
        <v>0</v>
      </c>
      <c r="L23" s="42">
        <f t="shared" si="3"/>
        <v>0</v>
      </c>
      <c r="M23" s="91" t="s">
        <v>421</v>
      </c>
    </row>
    <row r="24" s="2" customFormat="1" ht="25.05" customHeight="1" spans="1:13">
      <c r="A24" s="58" t="s">
        <v>254</v>
      </c>
      <c r="B24" s="59" t="s">
        <v>345</v>
      </c>
      <c r="C24" s="59"/>
      <c r="D24" s="60"/>
      <c r="E24" s="60"/>
      <c r="F24" s="61"/>
      <c r="G24" s="61"/>
      <c r="H24" s="62"/>
      <c r="I24" s="62"/>
      <c r="J24" s="62"/>
      <c r="K24" s="62"/>
      <c r="L24" s="89"/>
      <c r="M24" s="62"/>
    </row>
    <row r="25" s="2" customFormat="1" ht="84" spans="1:14">
      <c r="A25" s="24">
        <v>1</v>
      </c>
      <c r="B25" s="25" t="s">
        <v>256</v>
      </c>
      <c r="C25" s="118" t="s">
        <v>257</v>
      </c>
      <c r="D25" s="76" t="s">
        <v>197</v>
      </c>
      <c r="E25" s="66" t="s">
        <v>198</v>
      </c>
      <c r="F25" s="29">
        <v>11907.444</v>
      </c>
      <c r="G25" s="65"/>
      <c r="H25" s="65"/>
      <c r="I25" s="42">
        <f>SUM(G25:H25)*$I$4</f>
        <v>0</v>
      </c>
      <c r="J25" s="42">
        <f>SUM(G25:I25)*$J$4</f>
        <v>0</v>
      </c>
      <c r="K25" s="42">
        <f t="shared" ref="K25:K35" si="4">SUM(G25:J25)</f>
        <v>0</v>
      </c>
      <c r="L25" s="42">
        <f t="shared" ref="L25:L35" si="5">F25*K25</f>
        <v>0</v>
      </c>
      <c r="M25" s="29" t="s">
        <v>419</v>
      </c>
      <c r="N25" s="2"/>
    </row>
    <row r="26" s="3" customFormat="1" ht="60" spans="1:13">
      <c r="A26" s="24">
        <v>2</v>
      </c>
      <c r="B26" s="210" t="s">
        <v>439</v>
      </c>
      <c r="C26" s="211" t="s">
        <v>440</v>
      </c>
      <c r="D26" s="212" t="s">
        <v>269</v>
      </c>
      <c r="E26" s="213" t="s">
        <v>211</v>
      </c>
      <c r="F26" s="265">
        <v>731.351</v>
      </c>
      <c r="G26" s="65"/>
      <c r="H26" s="65"/>
      <c r="I26" s="42">
        <f>SUM(G26:H26)*$I$4</f>
        <v>0</v>
      </c>
      <c r="J26" s="42">
        <f>SUM(G26:I26)*$J$4</f>
        <v>0</v>
      </c>
      <c r="K26" s="42">
        <f t="shared" si="4"/>
        <v>0</v>
      </c>
      <c r="L26" s="42">
        <f t="shared" si="5"/>
        <v>0</v>
      </c>
      <c r="M26" s="29" t="s">
        <v>441</v>
      </c>
    </row>
    <row r="27" s="3" customFormat="1" ht="61.95" customHeight="1" spans="1:13">
      <c r="A27" s="107">
        <v>3</v>
      </c>
      <c r="B27" s="266" t="s">
        <v>442</v>
      </c>
      <c r="C27" s="267" t="s">
        <v>443</v>
      </c>
      <c r="D27" s="268" t="s">
        <v>444</v>
      </c>
      <c r="E27" s="269" t="s">
        <v>175</v>
      </c>
      <c r="F27" s="270">
        <v>1734.652</v>
      </c>
      <c r="G27" s="112"/>
      <c r="H27" s="112"/>
      <c r="I27" s="156">
        <f>SUM(G27:H27)*$I$4</f>
        <v>0</v>
      </c>
      <c r="J27" s="156">
        <f>SUM(G27:I27)*$J$4</f>
        <v>0</v>
      </c>
      <c r="K27" s="156">
        <f t="shared" si="4"/>
        <v>0</v>
      </c>
      <c r="L27" s="156">
        <f t="shared" si="5"/>
        <v>0</v>
      </c>
      <c r="M27" s="112" t="s">
        <v>454</v>
      </c>
    </row>
    <row r="28" s="2" customFormat="1" ht="120" spans="1:13">
      <c r="A28" s="24">
        <v>4</v>
      </c>
      <c r="B28" s="25" t="s">
        <v>259</v>
      </c>
      <c r="C28" s="63" t="s">
        <v>446</v>
      </c>
      <c r="D28" s="76" t="s">
        <v>197</v>
      </c>
      <c r="E28" s="66" t="s">
        <v>198</v>
      </c>
      <c r="F28" s="29">
        <v>5676.17</v>
      </c>
      <c r="G28" s="65"/>
      <c r="H28" s="65"/>
      <c r="I28" s="42">
        <f>SUM(G28:H28)*$I$4</f>
        <v>0</v>
      </c>
      <c r="J28" s="42">
        <f>SUM(G28:I28)*$J$4</f>
        <v>0</v>
      </c>
      <c r="K28" s="42">
        <f t="shared" si="4"/>
        <v>0</v>
      </c>
      <c r="L28" s="42">
        <f t="shared" si="5"/>
        <v>0</v>
      </c>
      <c r="M28" s="29" t="s">
        <v>274</v>
      </c>
    </row>
    <row r="29" s="3" customFormat="1" ht="108" spans="1:13">
      <c r="A29" s="107">
        <v>5</v>
      </c>
      <c r="B29" s="120" t="s">
        <v>262</v>
      </c>
      <c r="C29" s="236" t="s">
        <v>263</v>
      </c>
      <c r="D29" s="204" t="s">
        <v>264</v>
      </c>
      <c r="E29" s="122" t="s">
        <v>265</v>
      </c>
      <c r="F29" s="112">
        <v>50</v>
      </c>
      <c r="G29" s="112"/>
      <c r="H29" s="112"/>
      <c r="I29" s="156">
        <f>SUM(G29:H29)*$I$4</f>
        <v>0</v>
      </c>
      <c r="J29" s="156">
        <f>SUM(G29:I29)*$J$4</f>
        <v>0</v>
      </c>
      <c r="K29" s="156">
        <f t="shared" si="4"/>
        <v>0</v>
      </c>
      <c r="L29" s="156">
        <f t="shared" si="5"/>
        <v>0</v>
      </c>
      <c r="M29" s="158" t="s">
        <v>426</v>
      </c>
    </row>
    <row r="30" s="3" customFormat="1" ht="24" spans="1:13">
      <c r="A30" s="24">
        <v>8</v>
      </c>
      <c r="B30" s="271" t="s">
        <v>267</v>
      </c>
      <c r="C30" s="272" t="s">
        <v>268</v>
      </c>
      <c r="D30" s="212" t="s">
        <v>269</v>
      </c>
      <c r="E30" s="213" t="s">
        <v>211</v>
      </c>
      <c r="F30" s="29">
        <v>68.54</v>
      </c>
      <c r="G30" s="65"/>
      <c r="H30" s="65"/>
      <c r="I30" s="42">
        <f>SUM(G30:H30)*$I$4</f>
        <v>0</v>
      </c>
      <c r="J30" s="42">
        <f>SUM(G30:I30)*$J$4</f>
        <v>0</v>
      </c>
      <c r="K30" s="42">
        <f t="shared" si="4"/>
        <v>0</v>
      </c>
      <c r="L30" s="42">
        <f t="shared" si="5"/>
        <v>0</v>
      </c>
      <c r="M30" s="29"/>
    </row>
    <row r="31" s="2" customFormat="1" ht="72" spans="1:13">
      <c r="A31" s="24">
        <v>9</v>
      </c>
      <c r="B31" s="273" t="s">
        <v>271</v>
      </c>
      <c r="C31" s="274" t="s">
        <v>346</v>
      </c>
      <c r="D31" s="275" t="s">
        <v>273</v>
      </c>
      <c r="E31" s="276" t="s">
        <v>175</v>
      </c>
      <c r="F31" s="29">
        <v>847.71</v>
      </c>
      <c r="G31" s="65"/>
      <c r="H31" s="65"/>
      <c r="I31" s="42">
        <f>SUM(G31:H31)*$I$4</f>
        <v>0</v>
      </c>
      <c r="J31" s="42">
        <f>SUM(G31:I31)*$J$4</f>
        <v>0</v>
      </c>
      <c r="K31" s="42">
        <f t="shared" si="4"/>
        <v>0</v>
      </c>
      <c r="L31" s="42">
        <f t="shared" si="5"/>
        <v>0</v>
      </c>
      <c r="M31" s="29" t="s">
        <v>274</v>
      </c>
    </row>
    <row r="32" s="2" customFormat="1" ht="72" spans="1:13">
      <c r="A32" s="24">
        <v>10</v>
      </c>
      <c r="B32" s="273" t="s">
        <v>271</v>
      </c>
      <c r="C32" s="274" t="s">
        <v>448</v>
      </c>
      <c r="D32" s="275" t="s">
        <v>273</v>
      </c>
      <c r="E32" s="276" t="s">
        <v>175</v>
      </c>
      <c r="F32" s="29">
        <f>2394.13</f>
        <v>2394.13</v>
      </c>
      <c r="G32" s="65"/>
      <c r="H32" s="65"/>
      <c r="I32" s="42">
        <f>SUM(G32:H32)*$I$4</f>
        <v>0</v>
      </c>
      <c r="J32" s="42">
        <f>SUM(G32:I32)*$J$4</f>
        <v>0</v>
      </c>
      <c r="K32" s="42">
        <f t="shared" si="4"/>
        <v>0</v>
      </c>
      <c r="L32" s="42">
        <f t="shared" si="5"/>
        <v>0</v>
      </c>
      <c r="M32" s="29" t="s">
        <v>274</v>
      </c>
    </row>
    <row r="33" s="97" customFormat="1" ht="36" spans="1:13">
      <c r="A33" s="24">
        <v>11</v>
      </c>
      <c r="B33" s="128" t="s">
        <v>449</v>
      </c>
      <c r="C33" s="217" t="s">
        <v>450</v>
      </c>
      <c r="D33" s="248" t="s">
        <v>349</v>
      </c>
      <c r="E33" s="131" t="s">
        <v>198</v>
      </c>
      <c r="F33" s="105">
        <v>23.54</v>
      </c>
      <c r="G33" s="29"/>
      <c r="H33" s="29"/>
      <c r="I33" s="42">
        <f>SUM(G33:H33)*$I$4</f>
        <v>0</v>
      </c>
      <c r="J33" s="42">
        <f>SUM(G33:I33)*$J$4</f>
        <v>0</v>
      </c>
      <c r="K33" s="42">
        <f t="shared" si="4"/>
        <v>0</v>
      </c>
      <c r="L33" s="42">
        <f t="shared" si="5"/>
        <v>0</v>
      </c>
      <c r="M33" s="29" t="s">
        <v>274</v>
      </c>
    </row>
    <row r="34" s="97" customFormat="1" ht="60" spans="1:13">
      <c r="A34" s="24">
        <v>12</v>
      </c>
      <c r="B34" s="128" t="s">
        <v>451</v>
      </c>
      <c r="C34" s="217" t="s">
        <v>452</v>
      </c>
      <c r="D34" s="248" t="s">
        <v>349</v>
      </c>
      <c r="E34" s="131" t="s">
        <v>198</v>
      </c>
      <c r="F34" s="277">
        <v>12.78</v>
      </c>
      <c r="G34" s="29"/>
      <c r="H34" s="29"/>
      <c r="I34" s="42">
        <f>SUM(G34:H34)*$I$4</f>
        <v>0</v>
      </c>
      <c r="J34" s="42">
        <f>SUM(G34:I34)*$J$4</f>
        <v>0</v>
      </c>
      <c r="K34" s="42">
        <f t="shared" si="4"/>
        <v>0</v>
      </c>
      <c r="L34" s="42">
        <f t="shared" si="5"/>
        <v>0</v>
      </c>
      <c r="M34" s="29" t="s">
        <v>441</v>
      </c>
    </row>
    <row r="35" s="3" customFormat="1" ht="36" spans="1:13">
      <c r="A35" s="107">
        <v>16</v>
      </c>
      <c r="B35" s="143" t="s">
        <v>290</v>
      </c>
      <c r="C35" s="144" t="s">
        <v>291</v>
      </c>
      <c r="D35" s="230" t="s">
        <v>292</v>
      </c>
      <c r="E35" s="146" t="s">
        <v>138</v>
      </c>
      <c r="F35" s="270">
        <v>38</v>
      </c>
      <c r="G35" s="112"/>
      <c r="H35" s="112"/>
      <c r="I35" s="156">
        <f>SUM(G35:H35)*$I$4</f>
        <v>0</v>
      </c>
      <c r="J35" s="156">
        <f>SUM(G35:I35)*$J$4</f>
        <v>0</v>
      </c>
      <c r="K35" s="156">
        <f t="shared" si="4"/>
        <v>0</v>
      </c>
      <c r="L35" s="156">
        <f t="shared" si="5"/>
        <v>0</v>
      </c>
      <c r="M35" s="112"/>
    </row>
    <row r="36" ht="25.05" customHeight="1" spans="1:13">
      <c r="A36" s="61" t="s">
        <v>293</v>
      </c>
      <c r="B36" s="59" t="s">
        <v>294</v>
      </c>
      <c r="C36" s="59"/>
      <c r="D36" s="60"/>
      <c r="E36" s="60"/>
      <c r="F36" s="61"/>
      <c r="G36" s="61"/>
      <c r="H36" s="62"/>
      <c r="I36" s="62"/>
      <c r="J36" s="62"/>
      <c r="K36" s="62"/>
      <c r="L36" s="89"/>
      <c r="M36" s="62"/>
    </row>
    <row r="37" s="3" customFormat="1" ht="21" customHeight="1" spans="1:13">
      <c r="A37" s="24">
        <v>2</v>
      </c>
      <c r="B37" s="27" t="s">
        <v>295</v>
      </c>
      <c r="C37" s="27" t="s">
        <v>296</v>
      </c>
      <c r="D37" s="27" t="s">
        <v>297</v>
      </c>
      <c r="E37" s="28" t="s">
        <v>198</v>
      </c>
      <c r="F37" s="29">
        <v>14555.83</v>
      </c>
      <c r="G37" s="65"/>
      <c r="H37" s="65"/>
      <c r="I37" s="42">
        <f>SUM(G37:H37)*$I$4</f>
        <v>0</v>
      </c>
      <c r="J37" s="42">
        <f>SUM(G37:I37)*$J$4</f>
        <v>0</v>
      </c>
      <c r="K37" s="42">
        <f>SUM(G37:J37)</f>
        <v>0</v>
      </c>
      <c r="L37" s="42">
        <f t="shared" ref="L37:L39" si="6">F37*K37</f>
        <v>0</v>
      </c>
      <c r="M37" s="91" t="s">
        <v>298</v>
      </c>
    </row>
    <row r="38" s="3" customFormat="1" ht="24" spans="1:13">
      <c r="A38" s="24">
        <v>3</v>
      </c>
      <c r="B38" s="27" t="s">
        <v>299</v>
      </c>
      <c r="C38" s="27" t="s">
        <v>300</v>
      </c>
      <c r="D38" s="27" t="s">
        <v>297</v>
      </c>
      <c r="E38" s="28" t="s">
        <v>198</v>
      </c>
      <c r="F38" s="29">
        <f>F37</f>
        <v>14555.83</v>
      </c>
      <c r="G38" s="65"/>
      <c r="H38" s="65"/>
      <c r="I38" s="42">
        <f>SUM(G38:H38)*$I$4</f>
        <v>0</v>
      </c>
      <c r="J38" s="42">
        <f>SUM(G38:I38)*$J$4</f>
        <v>0</v>
      </c>
      <c r="K38" s="42">
        <f>SUM(G38:J38)</f>
        <v>0</v>
      </c>
      <c r="L38" s="42">
        <f t="shared" si="6"/>
        <v>0</v>
      </c>
      <c r="M38" s="91" t="s">
        <v>301</v>
      </c>
    </row>
    <row r="39" s="3" customFormat="1" ht="21" customHeight="1" spans="1:13">
      <c r="A39" s="24">
        <v>4</v>
      </c>
      <c r="B39" s="27" t="s">
        <v>302</v>
      </c>
      <c r="C39" s="27" t="s">
        <v>302</v>
      </c>
      <c r="D39" s="27" t="s">
        <v>297</v>
      </c>
      <c r="E39" s="28" t="s">
        <v>198</v>
      </c>
      <c r="F39" s="29">
        <f>F38</f>
        <v>14555.83</v>
      </c>
      <c r="G39" s="65"/>
      <c r="H39" s="65"/>
      <c r="I39" s="42">
        <f>SUM(G39:H39)*$I$4</f>
        <v>0</v>
      </c>
      <c r="J39" s="42">
        <f>SUM(G39:I39)*$J$4</f>
        <v>0</v>
      </c>
      <c r="K39" s="42">
        <f>SUM(G39:J39)</f>
        <v>0</v>
      </c>
      <c r="L39" s="42">
        <f t="shared" si="6"/>
        <v>0</v>
      </c>
      <c r="M39" s="91" t="s">
        <v>303</v>
      </c>
    </row>
    <row r="40" ht="24.9" customHeight="1" spans="1:13">
      <c r="A40" s="77"/>
      <c r="B40" s="218" t="s">
        <v>63</v>
      </c>
      <c r="C40" s="219"/>
      <c r="D40" s="80"/>
      <c r="E40" s="80"/>
      <c r="F40" s="81"/>
      <c r="G40" s="81"/>
      <c r="H40" s="82"/>
      <c r="I40" s="82"/>
      <c r="J40" s="82"/>
      <c r="K40" s="82"/>
      <c r="L40" s="95" t="e">
        <f>SUM(L1:L39)</f>
        <v>#REF!</v>
      </c>
      <c r="M40" s="82"/>
    </row>
    <row r="41" ht="20.1" customHeight="1" spans="1:7">
      <c r="A41" s="83"/>
      <c r="B41" s="83"/>
      <c r="C41" s="83"/>
      <c r="D41" s="83"/>
      <c r="E41" s="83"/>
      <c r="F41" s="85"/>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3" name="区域2_1_1_3_2_1"/>
  </protectedRanges>
  <autoFilter ref="A2:O40">
    <extLst/>
  </autoFilter>
  <mergeCells count="18">
    <mergeCell ref="A1:M1"/>
    <mergeCell ref="G2:J2"/>
    <mergeCell ref="B5:C5"/>
    <mergeCell ref="B14:C14"/>
    <mergeCell ref="B24:C24"/>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7"/>
  <sheetViews>
    <sheetView view="pageBreakPreview" zoomScale="90" zoomScaleNormal="100" workbookViewId="0">
      <pane ySplit="4" topLeftCell="A53" activePane="bottomLeft" state="frozen"/>
      <selection/>
      <selection pane="bottomLeft" activeCell="H3" sqref="H$1:H$1048576"/>
    </sheetView>
  </sheetViews>
  <sheetFormatPr defaultColWidth="9" defaultRowHeight="14"/>
  <cols>
    <col min="1" max="1" width="5.66363636363636" style="47" customWidth="1"/>
    <col min="2" max="2" width="17.4454545454545" style="47" customWidth="1"/>
    <col min="3" max="3" width="23.3363636363636"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52" t="s">
        <v>82</v>
      </c>
      <c r="B1" s="52"/>
      <c r="C1" s="52"/>
      <c r="D1" s="52"/>
      <c r="E1" s="52"/>
      <c r="F1" s="52"/>
      <c r="G1" s="52"/>
      <c r="H1" s="52"/>
      <c r="I1" s="52"/>
      <c r="J1" s="52"/>
      <c r="K1" s="52"/>
      <c r="L1" s="52"/>
      <c r="M1" s="52"/>
    </row>
    <row r="2" ht="20.1" customHeight="1" spans="1:13">
      <c r="A2" s="55" t="s">
        <v>97</v>
      </c>
      <c r="B2" s="55" t="s">
        <v>182</v>
      </c>
      <c r="C2" s="55" t="s">
        <v>183</v>
      </c>
      <c r="D2" s="55" t="s">
        <v>184</v>
      </c>
      <c r="E2" s="55" t="s">
        <v>125</v>
      </c>
      <c r="F2" s="55" t="s">
        <v>185</v>
      </c>
      <c r="G2" s="55" t="s">
        <v>186</v>
      </c>
      <c r="H2" s="57"/>
      <c r="I2" s="55"/>
      <c r="J2" s="56"/>
      <c r="K2" s="197" t="s">
        <v>187</v>
      </c>
      <c r="L2" s="56" t="s">
        <v>188</v>
      </c>
      <c r="M2" s="55" t="s">
        <v>43</v>
      </c>
    </row>
    <row r="3" ht="20.1" customHeight="1" spans="1:13">
      <c r="A3" s="55"/>
      <c r="B3" s="55"/>
      <c r="C3" s="55"/>
      <c r="D3" s="55"/>
      <c r="E3" s="55"/>
      <c r="F3" s="55"/>
      <c r="G3" s="162" t="s">
        <v>189</v>
      </c>
      <c r="H3" s="163" t="s">
        <v>190</v>
      </c>
      <c r="I3" s="56" t="s">
        <v>191</v>
      </c>
      <c r="J3" s="56" t="s">
        <v>192</v>
      </c>
      <c r="K3" s="198"/>
      <c r="L3" s="56"/>
      <c r="M3" s="55"/>
    </row>
    <row r="4" ht="20.1" customHeight="1" spans="1:13">
      <c r="A4" s="55"/>
      <c r="B4" s="55"/>
      <c r="C4" s="55"/>
      <c r="D4" s="55"/>
      <c r="E4" s="55"/>
      <c r="F4" s="55"/>
      <c r="G4" s="55"/>
      <c r="H4" s="162"/>
      <c r="I4" s="88"/>
      <c r="J4" s="88"/>
      <c r="K4" s="199"/>
      <c r="L4" s="56"/>
      <c r="M4" s="55"/>
    </row>
    <row r="5" ht="30" customHeight="1" spans="1:13">
      <c r="A5" s="58" t="s">
        <v>193</v>
      </c>
      <c r="B5" s="164" t="s">
        <v>455</v>
      </c>
      <c r="C5" s="165"/>
      <c r="D5" s="60"/>
      <c r="E5" s="60"/>
      <c r="F5" s="60"/>
      <c r="G5" s="61"/>
      <c r="H5" s="62"/>
      <c r="I5" s="62"/>
      <c r="J5" s="62"/>
      <c r="K5" s="62"/>
      <c r="L5" s="89"/>
      <c r="M5" s="62"/>
    </row>
    <row r="6" s="2" customFormat="1" ht="108" spans="1:13">
      <c r="A6" s="24">
        <v>1</v>
      </c>
      <c r="B6" s="63" t="s">
        <v>195</v>
      </c>
      <c r="C6" s="63" t="s">
        <v>456</v>
      </c>
      <c r="D6" s="76" t="s">
        <v>197</v>
      </c>
      <c r="E6" s="166" t="s">
        <v>198</v>
      </c>
      <c r="F6" s="106">
        <f>3285.62-F7</f>
        <v>3174.14</v>
      </c>
      <c r="G6" s="65"/>
      <c r="H6" s="65"/>
      <c r="I6" s="42">
        <f>SUM(G6:H6)*$I$4</f>
        <v>0</v>
      </c>
      <c r="J6" s="42">
        <f>SUM(G6:I6)*$J$4</f>
        <v>0</v>
      </c>
      <c r="K6" s="42">
        <f t="shared" ref="K6:K15" si="0">SUM(G6:J6)</f>
        <v>0</v>
      </c>
      <c r="L6" s="42">
        <f t="shared" ref="L6:L15" si="1">F6*K6</f>
        <v>0</v>
      </c>
      <c r="M6" s="91" t="s">
        <v>430</v>
      </c>
    </row>
    <row r="7" s="2" customFormat="1" ht="34.05" customHeight="1" spans="1:13">
      <c r="A7" s="24">
        <v>2</v>
      </c>
      <c r="B7" s="63" t="s">
        <v>305</v>
      </c>
      <c r="C7" s="63" t="s">
        <v>329</v>
      </c>
      <c r="D7" s="76" t="s">
        <v>330</v>
      </c>
      <c r="E7" s="225" t="s">
        <v>198</v>
      </c>
      <c r="F7" s="106">
        <f>111.48</f>
        <v>111.48</v>
      </c>
      <c r="G7" s="65"/>
      <c r="H7" s="65"/>
      <c r="I7" s="42">
        <f>SUM(G7:H7)*$I$4</f>
        <v>0</v>
      </c>
      <c r="J7" s="42">
        <f>SUM(G7:I7)*$J$4</f>
        <v>0</v>
      </c>
      <c r="K7" s="42">
        <f t="shared" si="0"/>
        <v>0</v>
      </c>
      <c r="L7" s="42">
        <f t="shared" si="1"/>
        <v>0</v>
      </c>
      <c r="M7" s="29" t="s">
        <v>274</v>
      </c>
    </row>
    <row r="8" s="2" customFormat="1" ht="96" spans="1:13">
      <c r="A8" s="24">
        <v>2</v>
      </c>
      <c r="B8" s="63" t="s">
        <v>457</v>
      </c>
      <c r="C8" s="63" t="s">
        <v>458</v>
      </c>
      <c r="D8" s="63" t="s">
        <v>197</v>
      </c>
      <c r="E8" s="63" t="s">
        <v>198</v>
      </c>
      <c r="F8" s="106">
        <v>44.86</v>
      </c>
      <c r="G8" s="65"/>
      <c r="H8" s="65"/>
      <c r="I8" s="42">
        <f>SUM(G8:H8)*$I$4</f>
        <v>0</v>
      </c>
      <c r="J8" s="42">
        <f>SUM(G8:I8)*$J$4</f>
        <v>0</v>
      </c>
      <c r="K8" s="42">
        <f t="shared" si="0"/>
        <v>0</v>
      </c>
      <c r="L8" s="42">
        <f t="shared" si="1"/>
        <v>0</v>
      </c>
      <c r="M8" s="29" t="s">
        <v>459</v>
      </c>
    </row>
    <row r="9" s="97" customFormat="1" ht="120" spans="1:13">
      <c r="A9" s="24">
        <v>3</v>
      </c>
      <c r="B9" s="63" t="s">
        <v>195</v>
      </c>
      <c r="C9" s="63" t="s">
        <v>200</v>
      </c>
      <c r="D9" s="76" t="s">
        <v>197</v>
      </c>
      <c r="E9" s="225" t="s">
        <v>198</v>
      </c>
      <c r="F9" s="64">
        <f>38.23+4.5</f>
        <v>42.73</v>
      </c>
      <c r="G9" s="29"/>
      <c r="H9" s="29"/>
      <c r="I9" s="42">
        <f>SUM(G9:H9)*$I$4</f>
        <v>0</v>
      </c>
      <c r="J9" s="42">
        <f>SUM(G9:I9)*$J$4</f>
        <v>0</v>
      </c>
      <c r="K9" s="42">
        <f t="shared" si="0"/>
        <v>0</v>
      </c>
      <c r="L9" s="42">
        <f t="shared" si="1"/>
        <v>0</v>
      </c>
      <c r="M9" s="29" t="s">
        <v>274</v>
      </c>
    </row>
    <row r="10" s="2" customFormat="1" ht="96" spans="1:13">
      <c r="A10" s="24">
        <v>5</v>
      </c>
      <c r="B10" s="63" t="s">
        <v>460</v>
      </c>
      <c r="C10" s="63" t="s">
        <v>378</v>
      </c>
      <c r="D10" s="27" t="s">
        <v>206</v>
      </c>
      <c r="E10" s="28" t="s">
        <v>175</v>
      </c>
      <c r="F10" s="106">
        <f>4.04+0.6*2+3.94+3.14+7.48</f>
        <v>19.8</v>
      </c>
      <c r="G10" s="65"/>
      <c r="H10" s="65"/>
      <c r="I10" s="42">
        <f>SUM(G10:H10)*$I$4</f>
        <v>0</v>
      </c>
      <c r="J10" s="42">
        <f>SUM(G10:I10)*$J$4</f>
        <v>0</v>
      </c>
      <c r="K10" s="42">
        <f t="shared" si="0"/>
        <v>0</v>
      </c>
      <c r="L10" s="42">
        <f t="shared" si="1"/>
        <v>0</v>
      </c>
      <c r="M10" s="29" t="s">
        <v>461</v>
      </c>
    </row>
    <row r="11" s="2" customFormat="1" ht="96" spans="1:13">
      <c r="A11" s="24">
        <v>6</v>
      </c>
      <c r="B11" s="63" t="s">
        <v>219</v>
      </c>
      <c r="C11" s="63" t="s">
        <v>462</v>
      </c>
      <c r="D11" s="63" t="s">
        <v>197</v>
      </c>
      <c r="E11" s="63" t="s">
        <v>198</v>
      </c>
      <c r="F11" s="106">
        <v>19.43</v>
      </c>
      <c r="G11" s="65"/>
      <c r="H11" s="65"/>
      <c r="I11" s="42">
        <f>SUM(G11:H11)*$I$4</f>
        <v>0</v>
      </c>
      <c r="J11" s="42">
        <f>SUM(G11:I11)*$J$4</f>
        <v>0</v>
      </c>
      <c r="K11" s="42">
        <f t="shared" si="0"/>
        <v>0</v>
      </c>
      <c r="L11" s="42">
        <f t="shared" si="1"/>
        <v>0</v>
      </c>
      <c r="M11" s="29" t="s">
        <v>453</v>
      </c>
    </row>
    <row r="12" s="97" customFormat="1" ht="48" spans="1:13">
      <c r="A12" s="107">
        <v>8</v>
      </c>
      <c r="B12" s="183" t="s">
        <v>463</v>
      </c>
      <c r="C12" s="183" t="s">
        <v>464</v>
      </c>
      <c r="D12" s="183" t="s">
        <v>197</v>
      </c>
      <c r="E12" s="183" t="s">
        <v>198</v>
      </c>
      <c r="F12" s="173">
        <v>75.05</v>
      </c>
      <c r="G12" s="112"/>
      <c r="H12" s="112"/>
      <c r="I12" s="156">
        <f>SUM(G12:H12)*$I$4</f>
        <v>0</v>
      </c>
      <c r="J12" s="156">
        <f>SUM(G12:I12)*$J$4</f>
        <v>0</v>
      </c>
      <c r="K12" s="156">
        <f t="shared" si="0"/>
        <v>0</v>
      </c>
      <c r="L12" s="156">
        <f t="shared" si="1"/>
        <v>0</v>
      </c>
      <c r="M12" s="112"/>
    </row>
    <row r="13" s="2" customFormat="1" ht="24" spans="1:13">
      <c r="A13" s="24">
        <v>9</v>
      </c>
      <c r="B13" s="63" t="s">
        <v>208</v>
      </c>
      <c r="C13" s="63" t="s">
        <v>465</v>
      </c>
      <c r="D13" s="63" t="s">
        <v>210</v>
      </c>
      <c r="E13" s="63" t="s">
        <v>211</v>
      </c>
      <c r="F13" s="106" t="e">
        <f>#REF!+38.23-F9</f>
        <v>#REF!</v>
      </c>
      <c r="G13" s="65"/>
      <c r="H13" s="65"/>
      <c r="I13" s="42">
        <f>SUM(G13:H13)*$I$4</f>
        <v>0</v>
      </c>
      <c r="J13" s="42">
        <f>SUM(G13:I13)*$J$4</f>
        <v>0</v>
      </c>
      <c r="K13" s="42">
        <f t="shared" si="0"/>
        <v>0</v>
      </c>
      <c r="L13" s="42" t="e">
        <f t="shared" si="1"/>
        <v>#REF!</v>
      </c>
      <c r="M13" s="29" t="s">
        <v>212</v>
      </c>
    </row>
    <row r="14" s="2" customFormat="1" ht="24" spans="1:13">
      <c r="A14" s="24">
        <v>10</v>
      </c>
      <c r="B14" s="63" t="s">
        <v>213</v>
      </c>
      <c r="C14" s="63" t="s">
        <v>214</v>
      </c>
      <c r="D14" s="63" t="s">
        <v>215</v>
      </c>
      <c r="E14" s="63" t="s">
        <v>211</v>
      </c>
      <c r="F14" s="106" t="e">
        <f>F13</f>
        <v>#REF!</v>
      </c>
      <c r="G14" s="65"/>
      <c r="H14" s="65"/>
      <c r="I14" s="42">
        <f>SUM(G14:H14)*$I$4</f>
        <v>0</v>
      </c>
      <c r="J14" s="42">
        <f>SUM(G14:I14)*$J$4</f>
        <v>0</v>
      </c>
      <c r="K14" s="42">
        <f t="shared" si="0"/>
        <v>0</v>
      </c>
      <c r="L14" s="42" t="e">
        <f t="shared" si="1"/>
        <v>#REF!</v>
      </c>
      <c r="M14" s="29" t="s">
        <v>212</v>
      </c>
    </row>
    <row r="15" s="2" customFormat="1" ht="37.95" customHeight="1" spans="1:13">
      <c r="A15" s="24">
        <v>11</v>
      </c>
      <c r="B15" s="63" t="s">
        <v>221</v>
      </c>
      <c r="C15" s="63" t="s">
        <v>222</v>
      </c>
      <c r="D15" s="63" t="s">
        <v>223</v>
      </c>
      <c r="E15" s="63" t="s">
        <v>178</v>
      </c>
      <c r="F15" s="64">
        <f>(2.73*2+4.64)*2*5*0.4</f>
        <v>40.4</v>
      </c>
      <c r="G15" s="29"/>
      <c r="H15" s="29"/>
      <c r="I15" s="42">
        <f>SUM(G15:H15)*$I$4</f>
        <v>0</v>
      </c>
      <c r="J15" s="42">
        <f>SUM(G15:I15)*$J$4</f>
        <v>0</v>
      </c>
      <c r="K15" s="42">
        <f t="shared" si="0"/>
        <v>0</v>
      </c>
      <c r="L15" s="42">
        <f t="shared" si="1"/>
        <v>0</v>
      </c>
      <c r="M15" s="29" t="s">
        <v>224</v>
      </c>
    </row>
    <row r="16" s="2" customFormat="1" ht="30" customHeight="1" spans="1:13">
      <c r="A16" s="58" t="s">
        <v>225</v>
      </c>
      <c r="B16" s="164" t="s">
        <v>466</v>
      </c>
      <c r="C16" s="165"/>
      <c r="D16" s="181"/>
      <c r="E16" s="181"/>
      <c r="F16" s="60"/>
      <c r="G16" s="61"/>
      <c r="H16" s="62"/>
      <c r="I16" s="62"/>
      <c r="J16" s="62"/>
      <c r="K16" s="62"/>
      <c r="L16" s="89"/>
      <c r="M16" s="62"/>
    </row>
    <row r="17" s="2" customFormat="1" ht="108" spans="1:13">
      <c r="A17" s="24">
        <v>1</v>
      </c>
      <c r="B17" s="63" t="s">
        <v>195</v>
      </c>
      <c r="C17" s="63" t="s">
        <v>456</v>
      </c>
      <c r="D17" s="76" t="s">
        <v>197</v>
      </c>
      <c r="E17" s="166" t="s">
        <v>198</v>
      </c>
      <c r="F17" s="104">
        <f>2566.35+176.37-111.48</f>
        <v>2631.24</v>
      </c>
      <c r="G17" s="66"/>
      <c r="H17" s="105"/>
      <c r="I17" s="42">
        <f>SUM(G17:H17)*$I$4</f>
        <v>0</v>
      </c>
      <c r="J17" s="42">
        <f>SUM(G17:I17)*$J$4</f>
        <v>0</v>
      </c>
      <c r="K17" s="42">
        <f t="shared" ref="K17:K23" si="2">SUM(G17:J17)</f>
        <v>0</v>
      </c>
      <c r="L17" s="42">
        <f t="shared" ref="L17:L23" si="3">F17*K17</f>
        <v>0</v>
      </c>
      <c r="M17" s="29" t="s">
        <v>410</v>
      </c>
    </row>
    <row r="18" s="2" customFormat="1" ht="120" spans="1:13">
      <c r="A18" s="24">
        <v>2</v>
      </c>
      <c r="B18" s="63" t="s">
        <v>305</v>
      </c>
      <c r="C18" s="63" t="s">
        <v>329</v>
      </c>
      <c r="D18" s="76" t="s">
        <v>330</v>
      </c>
      <c r="E18" s="225" t="s">
        <v>198</v>
      </c>
      <c r="F18" s="106">
        <f>111.48</f>
        <v>111.48</v>
      </c>
      <c r="G18" s="29"/>
      <c r="H18" s="105"/>
      <c r="I18" s="42">
        <f>SUM(G18:H18)*$I$4</f>
        <v>0</v>
      </c>
      <c r="J18" s="42">
        <f>SUM(G18:I18)*$J$4</f>
        <v>0</v>
      </c>
      <c r="K18" s="42">
        <f t="shared" si="2"/>
        <v>0</v>
      </c>
      <c r="L18" s="42">
        <f t="shared" si="3"/>
        <v>0</v>
      </c>
      <c r="M18" s="29" t="s">
        <v>410</v>
      </c>
    </row>
    <row r="19" s="97" customFormat="1" ht="120" spans="1:13">
      <c r="A19" s="24">
        <v>3</v>
      </c>
      <c r="B19" s="63" t="s">
        <v>195</v>
      </c>
      <c r="C19" s="63" t="s">
        <v>200</v>
      </c>
      <c r="D19" s="76" t="s">
        <v>197</v>
      </c>
      <c r="E19" s="225" t="s">
        <v>198</v>
      </c>
      <c r="F19" s="64">
        <f>3.78+1.23</f>
        <v>5.01</v>
      </c>
      <c r="G19" s="29"/>
      <c r="H19" s="29"/>
      <c r="I19" s="42">
        <f>SUM(G19:H19)*$I$4</f>
        <v>0</v>
      </c>
      <c r="J19" s="42">
        <f>SUM(G19:I19)*$J$4</f>
        <v>0</v>
      </c>
      <c r="K19" s="42">
        <f t="shared" si="2"/>
        <v>0</v>
      </c>
      <c r="L19" s="42">
        <f t="shared" si="3"/>
        <v>0</v>
      </c>
      <c r="M19" s="29" t="s">
        <v>410</v>
      </c>
    </row>
    <row r="20" s="2" customFormat="1" ht="96" spans="1:13">
      <c r="A20" s="24">
        <v>5</v>
      </c>
      <c r="B20" s="63" t="s">
        <v>460</v>
      </c>
      <c r="C20" s="63" t="s">
        <v>378</v>
      </c>
      <c r="D20" s="27" t="s">
        <v>206</v>
      </c>
      <c r="E20" s="28" t="s">
        <v>175</v>
      </c>
      <c r="F20" s="106">
        <f>(4.04+0.6*2+7.48)*2</f>
        <v>25.44</v>
      </c>
      <c r="G20" s="65"/>
      <c r="H20" s="65"/>
      <c r="I20" s="42">
        <f>SUM(G20:H20)*$I$4</f>
        <v>0</v>
      </c>
      <c r="J20" s="42">
        <f>SUM(G20:I20)*$J$4</f>
        <v>0</v>
      </c>
      <c r="K20" s="42">
        <f t="shared" si="2"/>
        <v>0</v>
      </c>
      <c r="L20" s="42">
        <f t="shared" si="3"/>
        <v>0</v>
      </c>
      <c r="M20" s="29" t="s">
        <v>427</v>
      </c>
    </row>
    <row r="21" s="2" customFormat="1" ht="24" spans="1:13">
      <c r="A21" s="24">
        <v>7</v>
      </c>
      <c r="B21" s="63" t="s">
        <v>208</v>
      </c>
      <c r="C21" s="63" t="s">
        <v>209</v>
      </c>
      <c r="D21" s="63" t="s">
        <v>210</v>
      </c>
      <c r="E21" s="63" t="s">
        <v>211</v>
      </c>
      <c r="F21" s="106" t="e">
        <f>#REF!</f>
        <v>#REF!</v>
      </c>
      <c r="G21" s="65"/>
      <c r="H21" s="65"/>
      <c r="I21" s="42">
        <f>SUM(G21:H21)*$I$4</f>
        <v>0</v>
      </c>
      <c r="J21" s="42">
        <f>SUM(G21:I21)*$J$4</f>
        <v>0</v>
      </c>
      <c r="K21" s="42">
        <f t="shared" si="2"/>
        <v>0</v>
      </c>
      <c r="L21" s="42" t="e">
        <f t="shared" si="3"/>
        <v>#REF!</v>
      </c>
      <c r="M21" s="29" t="s">
        <v>212</v>
      </c>
    </row>
    <row r="22" s="2" customFormat="1" ht="24" spans="1:13">
      <c r="A22" s="24">
        <v>8</v>
      </c>
      <c r="B22" s="63" t="s">
        <v>213</v>
      </c>
      <c r="C22" s="63" t="s">
        <v>214</v>
      </c>
      <c r="D22" s="63" t="s">
        <v>215</v>
      </c>
      <c r="E22" s="63" t="s">
        <v>211</v>
      </c>
      <c r="F22" s="106" t="e">
        <f>F21</f>
        <v>#REF!</v>
      </c>
      <c r="G22" s="65"/>
      <c r="H22" s="65"/>
      <c r="I22" s="42">
        <f>SUM(G22:H22)*$I$4</f>
        <v>0</v>
      </c>
      <c r="J22" s="42">
        <f>SUM(G22:I22)*$J$4</f>
        <v>0</v>
      </c>
      <c r="K22" s="42">
        <f t="shared" si="2"/>
        <v>0</v>
      </c>
      <c r="L22" s="42" t="e">
        <f t="shared" si="3"/>
        <v>#REF!</v>
      </c>
      <c r="M22" s="29" t="s">
        <v>212</v>
      </c>
    </row>
    <row r="23" s="2" customFormat="1" ht="96" spans="1:13">
      <c r="A23" s="24">
        <v>9</v>
      </c>
      <c r="B23" s="63" t="s">
        <v>219</v>
      </c>
      <c r="C23" s="63" t="s">
        <v>462</v>
      </c>
      <c r="D23" s="63" t="s">
        <v>197</v>
      </c>
      <c r="E23" s="63" t="s">
        <v>198</v>
      </c>
      <c r="F23" s="243">
        <v>18.05</v>
      </c>
      <c r="G23" s="66"/>
      <c r="H23" s="105"/>
      <c r="I23" s="42">
        <f>SUM(G23:H23)*$I$4</f>
        <v>0</v>
      </c>
      <c r="J23" s="42">
        <f>SUM(G23:I23)*$J$4</f>
        <v>0</v>
      </c>
      <c r="K23" s="42">
        <f t="shared" si="2"/>
        <v>0</v>
      </c>
      <c r="L23" s="42">
        <f t="shared" si="3"/>
        <v>0</v>
      </c>
      <c r="M23" s="29" t="s">
        <v>414</v>
      </c>
    </row>
    <row r="24" s="2" customFormat="1" ht="30" customHeight="1" spans="1:13">
      <c r="A24" s="58" t="s">
        <v>254</v>
      </c>
      <c r="B24" s="164" t="s">
        <v>467</v>
      </c>
      <c r="C24" s="165"/>
      <c r="D24" s="181"/>
      <c r="E24" s="181"/>
      <c r="F24" s="60"/>
      <c r="G24" s="61"/>
      <c r="H24" s="62"/>
      <c r="I24" s="62"/>
      <c r="J24" s="62"/>
      <c r="K24" s="62"/>
      <c r="L24" s="89"/>
      <c r="M24" s="62"/>
    </row>
    <row r="25" s="2" customFormat="1" ht="108" spans="1:13">
      <c r="A25" s="102" t="s">
        <v>468</v>
      </c>
      <c r="B25" s="63" t="s">
        <v>195</v>
      </c>
      <c r="C25" s="63" t="s">
        <v>456</v>
      </c>
      <c r="D25" s="76" t="s">
        <v>197</v>
      </c>
      <c r="E25" s="166" t="s">
        <v>198</v>
      </c>
      <c r="F25" s="104">
        <f>2012.1+2007.92+1938.19+176.38*3-334.44</f>
        <v>6152.91</v>
      </c>
      <c r="G25" s="66"/>
      <c r="H25" s="105"/>
      <c r="I25" s="42">
        <f>SUM(G25:H25)*$I$4</f>
        <v>0</v>
      </c>
      <c r="J25" s="42">
        <f>SUM(G25:I25)*$J$4</f>
        <v>0</v>
      </c>
      <c r="K25" s="42">
        <f t="shared" ref="K25:K31" si="4">SUM(G25:J25)</f>
        <v>0</v>
      </c>
      <c r="L25" s="42">
        <f t="shared" ref="L25:L31" si="5">F25*K25</f>
        <v>0</v>
      </c>
      <c r="M25" s="29" t="s">
        <v>274</v>
      </c>
    </row>
    <row r="26" s="97" customFormat="1" ht="126" customHeight="1" spans="1:13">
      <c r="A26" s="102" t="s">
        <v>469</v>
      </c>
      <c r="B26" s="63" t="s">
        <v>305</v>
      </c>
      <c r="C26" s="63" t="s">
        <v>329</v>
      </c>
      <c r="D26" s="76" t="s">
        <v>330</v>
      </c>
      <c r="E26" s="225" t="s">
        <v>198</v>
      </c>
      <c r="F26" s="106">
        <f>111.48*3</f>
        <v>334.44</v>
      </c>
      <c r="G26" s="29"/>
      <c r="H26" s="105"/>
      <c r="I26" s="42">
        <f>SUM(G26:H26)*$I$4</f>
        <v>0</v>
      </c>
      <c r="J26" s="42">
        <f>SUM(G26:I26)*$J$4</f>
        <v>0</v>
      </c>
      <c r="K26" s="42">
        <f t="shared" si="4"/>
        <v>0</v>
      </c>
      <c r="L26" s="42">
        <f t="shared" si="5"/>
        <v>0</v>
      </c>
      <c r="M26" s="29" t="s">
        <v>274</v>
      </c>
    </row>
    <row r="27" s="97" customFormat="1" ht="120" spans="1:13">
      <c r="A27" s="24">
        <v>3</v>
      </c>
      <c r="B27" s="63" t="s">
        <v>195</v>
      </c>
      <c r="C27" s="63" t="s">
        <v>200</v>
      </c>
      <c r="D27" s="76" t="s">
        <v>197</v>
      </c>
      <c r="E27" s="225" t="s">
        <v>198</v>
      </c>
      <c r="F27" s="64">
        <f>(3.78+1.23)*3</f>
        <v>15.03</v>
      </c>
      <c r="G27" s="29"/>
      <c r="H27" s="29"/>
      <c r="I27" s="42">
        <f>SUM(G27:H27)*$I$4</f>
        <v>0</v>
      </c>
      <c r="J27" s="42">
        <f>SUM(G27:I27)*$J$4</f>
        <v>0</v>
      </c>
      <c r="K27" s="42">
        <f t="shared" si="4"/>
        <v>0</v>
      </c>
      <c r="L27" s="42">
        <f t="shared" si="5"/>
        <v>0</v>
      </c>
      <c r="M27" s="29" t="s">
        <v>410</v>
      </c>
    </row>
    <row r="28" s="2" customFormat="1" ht="96" spans="1:13">
      <c r="A28" s="24">
        <v>5</v>
      </c>
      <c r="B28" s="63" t="s">
        <v>460</v>
      </c>
      <c r="C28" s="63" t="s">
        <v>378</v>
      </c>
      <c r="D28" s="27" t="s">
        <v>206</v>
      </c>
      <c r="E28" s="28" t="s">
        <v>175</v>
      </c>
      <c r="F28" s="106">
        <f>(4.04+0.6*2+7.48)*2*3+10*(0.95+0.52)</f>
        <v>91.02</v>
      </c>
      <c r="G28" s="65"/>
      <c r="H28" s="65"/>
      <c r="I28" s="42">
        <f>SUM(G28:H28)*$I$4</f>
        <v>0</v>
      </c>
      <c r="J28" s="42">
        <f>SUM(G28:I28)*$J$4</f>
        <v>0</v>
      </c>
      <c r="K28" s="42">
        <f t="shared" si="4"/>
        <v>0</v>
      </c>
      <c r="L28" s="42">
        <f t="shared" si="5"/>
        <v>0</v>
      </c>
      <c r="M28" s="29" t="s">
        <v>415</v>
      </c>
    </row>
    <row r="29" s="2" customFormat="1" ht="96" spans="1:13">
      <c r="A29" s="24">
        <v>6</v>
      </c>
      <c r="B29" s="63" t="s">
        <v>219</v>
      </c>
      <c r="C29" s="63" t="s">
        <v>462</v>
      </c>
      <c r="D29" s="63" t="s">
        <v>197</v>
      </c>
      <c r="E29" s="63" t="s">
        <v>198</v>
      </c>
      <c r="F29" s="104">
        <f>18.87+17.49+19.66</f>
        <v>56.02</v>
      </c>
      <c r="G29" s="66"/>
      <c r="H29" s="105"/>
      <c r="I29" s="42">
        <f>SUM(G29:H29)*$I$4</f>
        <v>0</v>
      </c>
      <c r="J29" s="42">
        <f>SUM(G29:I29)*$J$4</f>
        <v>0</v>
      </c>
      <c r="K29" s="42">
        <f t="shared" si="4"/>
        <v>0</v>
      </c>
      <c r="L29" s="42">
        <f t="shared" si="5"/>
        <v>0</v>
      </c>
      <c r="M29" s="29" t="s">
        <v>427</v>
      </c>
    </row>
    <row r="30" s="2" customFormat="1" ht="24" spans="1:13">
      <c r="A30" s="24">
        <v>9</v>
      </c>
      <c r="B30" s="63" t="s">
        <v>208</v>
      </c>
      <c r="C30" s="63" t="s">
        <v>209</v>
      </c>
      <c r="D30" s="63" t="s">
        <v>210</v>
      </c>
      <c r="E30" s="63" t="s">
        <v>211</v>
      </c>
      <c r="F30" s="104" t="e">
        <f>#REF!+#REF!</f>
        <v>#REF!</v>
      </c>
      <c r="G30" s="66"/>
      <c r="H30" s="105"/>
      <c r="I30" s="42">
        <f>SUM(G30:H30)*$I$4</f>
        <v>0</v>
      </c>
      <c r="J30" s="42">
        <f>SUM(G30:I30)*$J$4</f>
        <v>0</v>
      </c>
      <c r="K30" s="42">
        <f t="shared" si="4"/>
        <v>0</v>
      </c>
      <c r="L30" s="42" t="e">
        <f t="shared" si="5"/>
        <v>#REF!</v>
      </c>
      <c r="M30" s="29" t="s">
        <v>212</v>
      </c>
    </row>
    <row r="31" s="2" customFormat="1" ht="24" spans="1:13">
      <c r="A31" s="24">
        <v>10</v>
      </c>
      <c r="B31" s="63" t="s">
        <v>213</v>
      </c>
      <c r="C31" s="63" t="s">
        <v>214</v>
      </c>
      <c r="D31" s="63" t="s">
        <v>215</v>
      </c>
      <c r="E31" s="63" t="s">
        <v>211</v>
      </c>
      <c r="F31" s="104" t="e">
        <f>F30</f>
        <v>#REF!</v>
      </c>
      <c r="G31" s="66"/>
      <c r="H31" s="105"/>
      <c r="I31" s="42">
        <f>SUM(G31:H31)*$I$4</f>
        <v>0</v>
      </c>
      <c r="J31" s="42">
        <f>SUM(G31:I31)*$J$4</f>
        <v>0</v>
      </c>
      <c r="K31" s="42">
        <f t="shared" si="4"/>
        <v>0</v>
      </c>
      <c r="L31" s="42" t="e">
        <f t="shared" si="5"/>
        <v>#REF!</v>
      </c>
      <c r="M31" s="29" t="s">
        <v>212</v>
      </c>
    </row>
    <row r="32" s="2" customFormat="1" ht="30" customHeight="1" spans="1:13">
      <c r="A32" s="58" t="s">
        <v>293</v>
      </c>
      <c r="B32" s="164" t="s">
        <v>336</v>
      </c>
      <c r="C32" s="165"/>
      <c r="D32" s="60"/>
      <c r="E32" s="60"/>
      <c r="F32" s="60"/>
      <c r="G32" s="61"/>
      <c r="H32" s="62"/>
      <c r="I32" s="62"/>
      <c r="J32" s="62"/>
      <c r="K32" s="62"/>
      <c r="L32" s="89"/>
      <c r="M32" s="62"/>
    </row>
    <row r="33" s="2" customFormat="1" ht="84" spans="1:13">
      <c r="A33" s="24">
        <v>1</v>
      </c>
      <c r="B33" s="70" t="s">
        <v>227</v>
      </c>
      <c r="C33" s="70" t="s">
        <v>228</v>
      </c>
      <c r="D33" s="189" t="s">
        <v>229</v>
      </c>
      <c r="E33" s="28" t="s">
        <v>198</v>
      </c>
      <c r="F33" s="106">
        <f>2791.41+1342.9+888.49+970.68+1127.37</f>
        <v>7120.85</v>
      </c>
      <c r="G33" s="65"/>
      <c r="H33" s="65"/>
      <c r="I33" s="42">
        <f>SUM(G33:H33)*$I$4</f>
        <v>0</v>
      </c>
      <c r="J33" s="42">
        <f>SUM(G33:I33)*$J$4</f>
        <v>0</v>
      </c>
      <c r="K33" s="42">
        <f t="shared" ref="K33:K43" si="6">SUM(G33:J33)</f>
        <v>0</v>
      </c>
      <c r="L33" s="42">
        <f t="shared" ref="L33:L43" si="7">F33*K33</f>
        <v>0</v>
      </c>
      <c r="M33" s="91" t="s">
        <v>418</v>
      </c>
    </row>
    <row r="34" s="2" customFormat="1" ht="96" spans="1:13">
      <c r="A34" s="24">
        <v>2</v>
      </c>
      <c r="B34" s="70" t="s">
        <v>231</v>
      </c>
      <c r="C34" s="70" t="s">
        <v>232</v>
      </c>
      <c r="D34" s="167" t="s">
        <v>233</v>
      </c>
      <c r="E34" s="28" t="s">
        <v>198</v>
      </c>
      <c r="F34" s="106">
        <f>2943.78+1342.9*1.05+888.49*1.05+970.68*1.05+1130.41</f>
        <v>7436.3635</v>
      </c>
      <c r="G34" s="65"/>
      <c r="H34" s="65"/>
      <c r="I34" s="42">
        <f>SUM(G34:H34)*$I$4</f>
        <v>0</v>
      </c>
      <c r="J34" s="42">
        <f>SUM(G34:I34)*$J$4</f>
        <v>0</v>
      </c>
      <c r="K34" s="42">
        <f t="shared" si="6"/>
        <v>0</v>
      </c>
      <c r="L34" s="42">
        <f t="shared" si="7"/>
        <v>0</v>
      </c>
      <c r="M34" s="29" t="s">
        <v>419</v>
      </c>
    </row>
    <row r="35" s="2" customFormat="1" ht="72" spans="1:13">
      <c r="A35" s="24">
        <v>3</v>
      </c>
      <c r="B35" s="70" t="s">
        <v>313</v>
      </c>
      <c r="C35" s="70" t="s">
        <v>314</v>
      </c>
      <c r="D35" s="189" t="s">
        <v>229</v>
      </c>
      <c r="E35" s="28" t="s">
        <v>198</v>
      </c>
      <c r="F35" s="106">
        <f>376.37+761.24+839.11+758.53+466.46</f>
        <v>3201.71</v>
      </c>
      <c r="G35" s="65"/>
      <c r="H35" s="65"/>
      <c r="I35" s="42">
        <f>SUM(G35:H35)*$I$4</f>
        <v>0</v>
      </c>
      <c r="J35" s="42">
        <f>SUM(G35:I35)*$J$4</f>
        <v>0</v>
      </c>
      <c r="K35" s="42">
        <f t="shared" si="6"/>
        <v>0</v>
      </c>
      <c r="L35" s="42">
        <f t="shared" si="7"/>
        <v>0</v>
      </c>
      <c r="M35" s="91" t="s">
        <v>438</v>
      </c>
    </row>
    <row r="36" s="2" customFormat="1" ht="72" spans="1:13">
      <c r="A36" s="24">
        <v>4</v>
      </c>
      <c r="B36" s="70" t="s">
        <v>470</v>
      </c>
      <c r="C36" s="70" t="s">
        <v>471</v>
      </c>
      <c r="D36" s="189" t="s">
        <v>229</v>
      </c>
      <c r="E36" s="28" t="s">
        <v>198</v>
      </c>
      <c r="F36" s="106">
        <f>15.12+428.1+58.87+58.73+98.41</f>
        <v>659.23</v>
      </c>
      <c r="G36" s="65"/>
      <c r="H36" s="65"/>
      <c r="I36" s="42">
        <f>SUM(G36:H36)*$I$4</f>
        <v>0</v>
      </c>
      <c r="J36" s="42">
        <f>SUM(G36:I36)*$J$4</f>
        <v>0</v>
      </c>
      <c r="K36" s="42">
        <f t="shared" si="6"/>
        <v>0</v>
      </c>
      <c r="L36" s="42">
        <f t="shared" si="7"/>
        <v>0</v>
      </c>
      <c r="M36" s="91" t="s">
        <v>418</v>
      </c>
    </row>
    <row r="37" s="2" customFormat="1" ht="72" spans="1:13">
      <c r="A37" s="24">
        <v>5</v>
      </c>
      <c r="B37" s="167" t="s">
        <v>241</v>
      </c>
      <c r="C37" s="167" t="s">
        <v>242</v>
      </c>
      <c r="D37" s="167" t="s">
        <v>197</v>
      </c>
      <c r="E37" s="28" t="s">
        <v>198</v>
      </c>
      <c r="F37" s="106">
        <f>313.24+43.49+112.55+117.39+118.93</f>
        <v>705.6</v>
      </c>
      <c r="G37" s="65"/>
      <c r="H37" s="65"/>
      <c r="I37" s="42">
        <f>SUM(G37:H37)*$I$4</f>
        <v>0</v>
      </c>
      <c r="J37" s="42">
        <f>SUM(G37:I37)*$J$4</f>
        <v>0</v>
      </c>
      <c r="K37" s="42">
        <f t="shared" si="6"/>
        <v>0</v>
      </c>
      <c r="L37" s="42">
        <f t="shared" si="7"/>
        <v>0</v>
      </c>
      <c r="M37" s="29" t="s">
        <v>420</v>
      </c>
    </row>
    <row r="38" s="2" customFormat="1" ht="144" spans="1:13">
      <c r="A38" s="24">
        <v>7</v>
      </c>
      <c r="B38" s="186" t="s">
        <v>472</v>
      </c>
      <c r="C38" s="187" t="s">
        <v>240</v>
      </c>
      <c r="D38" s="188" t="s">
        <v>233</v>
      </c>
      <c r="E38" s="127" t="s">
        <v>211</v>
      </c>
      <c r="F38" s="106">
        <f>149.712+111.48*4+313.24+43.49+112.55+117.39+118.93</f>
        <v>1301.232</v>
      </c>
      <c r="G38" s="65"/>
      <c r="H38" s="65"/>
      <c r="I38" s="42">
        <f>SUM(G38:H38)*$I$4</f>
        <v>0</v>
      </c>
      <c r="J38" s="42">
        <f>SUM(G38:I38)*$J$4</f>
        <v>0</v>
      </c>
      <c r="K38" s="42">
        <f t="shared" si="6"/>
        <v>0</v>
      </c>
      <c r="L38" s="42">
        <f t="shared" si="7"/>
        <v>0</v>
      </c>
      <c r="M38" s="29" t="s">
        <v>419</v>
      </c>
    </row>
    <row r="39" s="97" customFormat="1" ht="60" spans="1:13">
      <c r="A39" s="107">
        <v>10</v>
      </c>
      <c r="B39" s="244" t="s">
        <v>473</v>
      </c>
      <c r="C39" s="245" t="s">
        <v>474</v>
      </c>
      <c r="D39" s="246" t="s">
        <v>273</v>
      </c>
      <c r="E39" s="247" t="s">
        <v>175</v>
      </c>
      <c r="F39" s="173">
        <f>72.2+69.9+10.3+33.8+18.8</f>
        <v>205</v>
      </c>
      <c r="G39" s="112"/>
      <c r="H39" s="112"/>
      <c r="I39" s="156">
        <f>SUM(G39:H39)*$I$4</f>
        <v>0</v>
      </c>
      <c r="J39" s="156">
        <f>SUM(G39:I39)*$J$4</f>
        <v>0</v>
      </c>
      <c r="K39" s="156">
        <f t="shared" si="6"/>
        <v>0</v>
      </c>
      <c r="L39" s="156">
        <f t="shared" si="7"/>
        <v>0</v>
      </c>
      <c r="M39" s="29" t="s">
        <v>475</v>
      </c>
    </row>
    <row r="40" s="2" customFormat="1" ht="60" spans="1:13">
      <c r="A40" s="107">
        <v>11</v>
      </c>
      <c r="B40" s="190" t="s">
        <v>476</v>
      </c>
      <c r="C40" s="190" t="s">
        <v>477</v>
      </c>
      <c r="D40" s="191" t="s">
        <v>229</v>
      </c>
      <c r="E40" s="192" t="s">
        <v>198</v>
      </c>
      <c r="F40" s="173">
        <f>61.75+(55.19+54.7+54.58)+84.95</f>
        <v>311.17</v>
      </c>
      <c r="G40" s="112"/>
      <c r="H40" s="112"/>
      <c r="I40" s="156">
        <f>SUM(G40:H40)*$I$4</f>
        <v>0</v>
      </c>
      <c r="J40" s="156">
        <f>SUM(G40:I40)*$J$4</f>
        <v>0</v>
      </c>
      <c r="K40" s="156">
        <f t="shared" si="6"/>
        <v>0</v>
      </c>
      <c r="L40" s="156">
        <f t="shared" si="7"/>
        <v>0</v>
      </c>
      <c r="M40" s="29" t="s">
        <v>419</v>
      </c>
    </row>
    <row r="41" s="2" customFormat="1" ht="48" spans="1:13">
      <c r="A41" s="24">
        <v>12</v>
      </c>
      <c r="B41" s="113" t="s">
        <v>237</v>
      </c>
      <c r="C41" s="114" t="s">
        <v>478</v>
      </c>
      <c r="D41" s="167" t="s">
        <v>233</v>
      </c>
      <c r="E41" s="116" t="s">
        <v>211</v>
      </c>
      <c r="F41" s="106">
        <f>75.95+(55.19+54.7+54.58+85.82)*1.05</f>
        <v>338.7545</v>
      </c>
      <c r="G41" s="65"/>
      <c r="H41" s="65"/>
      <c r="I41" s="42">
        <f>SUM(G41:H41)*$I$4</f>
        <v>0</v>
      </c>
      <c r="J41" s="42">
        <f>SUM(G41:I41)*$J$4</f>
        <v>0</v>
      </c>
      <c r="K41" s="42">
        <f t="shared" si="6"/>
        <v>0</v>
      </c>
      <c r="L41" s="42">
        <f t="shared" si="7"/>
        <v>0</v>
      </c>
      <c r="M41" s="29" t="s">
        <v>419</v>
      </c>
    </row>
    <row r="42" s="2" customFormat="1" ht="72" spans="1:13">
      <c r="A42" s="24">
        <v>13</v>
      </c>
      <c r="B42" s="113" t="s">
        <v>247</v>
      </c>
      <c r="C42" s="71" t="s">
        <v>248</v>
      </c>
      <c r="D42" s="196" t="s">
        <v>249</v>
      </c>
      <c r="E42" s="116" t="s">
        <v>175</v>
      </c>
      <c r="F42" s="106">
        <f>118.8+152.48+194.6+194.6+213.3</f>
        <v>873.78</v>
      </c>
      <c r="G42" s="65"/>
      <c r="H42" s="65"/>
      <c r="I42" s="42">
        <f>SUM(G42:H42)*$I$4</f>
        <v>0</v>
      </c>
      <c r="J42" s="42">
        <f>SUM(G42:I42)*$J$4</f>
        <v>0</v>
      </c>
      <c r="K42" s="42">
        <f t="shared" si="6"/>
        <v>0</v>
      </c>
      <c r="L42" s="42">
        <f t="shared" si="7"/>
        <v>0</v>
      </c>
      <c r="M42" s="91" t="s">
        <v>421</v>
      </c>
    </row>
    <row r="43" s="2" customFormat="1" ht="60" spans="1:13">
      <c r="A43" s="24">
        <v>14</v>
      </c>
      <c r="B43" s="113" t="s">
        <v>251</v>
      </c>
      <c r="C43" s="72" t="s">
        <v>252</v>
      </c>
      <c r="D43" s="196" t="s">
        <v>249</v>
      </c>
      <c r="E43" s="116" t="s">
        <v>175</v>
      </c>
      <c r="F43" s="106">
        <v>1286.6</v>
      </c>
      <c r="G43" s="65"/>
      <c r="H43" s="65"/>
      <c r="I43" s="42">
        <f>SUM(G43:H43)*$I$4</f>
        <v>0</v>
      </c>
      <c r="J43" s="42">
        <f>SUM(G43:I43)*$J$4</f>
        <v>0</v>
      </c>
      <c r="K43" s="42">
        <f t="shared" si="6"/>
        <v>0</v>
      </c>
      <c r="L43" s="42">
        <f t="shared" si="7"/>
        <v>0</v>
      </c>
      <c r="M43" s="91" t="s">
        <v>421</v>
      </c>
    </row>
    <row r="44" s="2" customFormat="1" ht="30" customHeight="1" spans="1:13">
      <c r="A44" s="58" t="s">
        <v>388</v>
      </c>
      <c r="B44" s="164" t="s">
        <v>479</v>
      </c>
      <c r="C44" s="165"/>
      <c r="D44" s="60"/>
      <c r="E44" s="60"/>
      <c r="F44" s="60"/>
      <c r="G44" s="61"/>
      <c r="H44" s="62"/>
      <c r="I44" s="62"/>
      <c r="J44" s="62"/>
      <c r="K44" s="62"/>
      <c r="L44" s="89"/>
      <c r="M44" s="62"/>
    </row>
    <row r="45" s="2" customFormat="1" ht="72" spans="1:13">
      <c r="A45" s="24">
        <v>1</v>
      </c>
      <c r="B45" s="25" t="s">
        <v>256</v>
      </c>
      <c r="C45" s="118" t="s">
        <v>480</v>
      </c>
      <c r="D45" s="76" t="s">
        <v>197</v>
      </c>
      <c r="E45" s="66" t="s">
        <v>198</v>
      </c>
      <c r="F45" s="206">
        <f>2210.19+(1837.66+447.14)</f>
        <v>4494.99</v>
      </c>
      <c r="G45" s="65"/>
      <c r="H45" s="65"/>
      <c r="I45" s="42">
        <f>SUM(G45:H45)*$I$4</f>
        <v>0</v>
      </c>
      <c r="J45" s="42">
        <f>SUM(G45:I45)*$J$4</f>
        <v>0</v>
      </c>
      <c r="K45" s="42">
        <f t="shared" ref="K45:K53" si="8">SUM(G45:J45)</f>
        <v>0</v>
      </c>
      <c r="L45" s="42">
        <f t="shared" ref="L45:L53" si="9">F45*K45</f>
        <v>0</v>
      </c>
      <c r="M45" s="29" t="s">
        <v>419</v>
      </c>
    </row>
    <row r="46" s="97" customFormat="1" ht="55.05" customHeight="1" spans="1:13">
      <c r="A46" s="24">
        <v>3</v>
      </c>
      <c r="B46" s="128" t="s">
        <v>481</v>
      </c>
      <c r="C46" s="217" t="s">
        <v>482</v>
      </c>
      <c r="D46" s="248" t="s">
        <v>349</v>
      </c>
      <c r="E46" s="131" t="s">
        <v>198</v>
      </c>
      <c r="F46" s="206">
        <v>8.96</v>
      </c>
      <c r="G46" s="29"/>
      <c r="H46" s="29"/>
      <c r="I46" s="42">
        <f>SUM(G46:H46)*$I$4</f>
        <v>0</v>
      </c>
      <c r="J46" s="42">
        <f>SUM(G46:I46)*$J$4</f>
        <v>0</v>
      </c>
      <c r="K46" s="42">
        <f t="shared" si="8"/>
        <v>0</v>
      </c>
      <c r="L46" s="42">
        <f t="shared" si="9"/>
        <v>0</v>
      </c>
      <c r="M46" s="91" t="s">
        <v>412</v>
      </c>
    </row>
    <row r="47" s="97" customFormat="1" ht="60" spans="1:13">
      <c r="A47" s="107">
        <v>4</v>
      </c>
      <c r="B47" s="190" t="s">
        <v>483</v>
      </c>
      <c r="C47" s="249" t="s">
        <v>484</v>
      </c>
      <c r="D47" s="250" t="s">
        <v>349</v>
      </c>
      <c r="E47" s="251" t="s">
        <v>211</v>
      </c>
      <c r="F47" s="252">
        <f>75.55+238.5</f>
        <v>314.05</v>
      </c>
      <c r="G47" s="112"/>
      <c r="H47" s="112"/>
      <c r="I47" s="156">
        <f>SUM(G47:H47)*$I$4</f>
        <v>0</v>
      </c>
      <c r="J47" s="156">
        <f>SUM(G47:I47)*$J$4</f>
        <v>0</v>
      </c>
      <c r="K47" s="156">
        <f t="shared" si="8"/>
        <v>0</v>
      </c>
      <c r="L47" s="156">
        <f t="shared" si="9"/>
        <v>0</v>
      </c>
      <c r="M47" s="29" t="s">
        <v>485</v>
      </c>
    </row>
    <row r="48" s="97" customFormat="1" ht="60" spans="1:13">
      <c r="A48" s="107">
        <v>5</v>
      </c>
      <c r="B48" s="190" t="s">
        <v>486</v>
      </c>
      <c r="C48" s="249" t="s">
        <v>487</v>
      </c>
      <c r="D48" s="250" t="s">
        <v>349</v>
      </c>
      <c r="E48" s="251" t="s">
        <v>211</v>
      </c>
      <c r="F48" s="252">
        <v>186.78</v>
      </c>
      <c r="G48" s="112"/>
      <c r="H48" s="112"/>
      <c r="I48" s="156">
        <f>SUM(G48:H48)*$I$4</f>
        <v>0</v>
      </c>
      <c r="J48" s="156">
        <f>SUM(G48:I48)*$J$4</f>
        <v>0</v>
      </c>
      <c r="K48" s="156">
        <f t="shared" si="8"/>
        <v>0</v>
      </c>
      <c r="L48" s="156">
        <f t="shared" si="9"/>
        <v>0</v>
      </c>
      <c r="M48" s="29" t="s">
        <v>485</v>
      </c>
    </row>
    <row r="49" s="2" customFormat="1" ht="96" spans="1:13">
      <c r="A49" s="24">
        <v>6</v>
      </c>
      <c r="B49" s="25" t="s">
        <v>259</v>
      </c>
      <c r="C49" s="63" t="s">
        <v>488</v>
      </c>
      <c r="D49" s="76" t="s">
        <v>197</v>
      </c>
      <c r="E49" s="66" t="s">
        <v>198</v>
      </c>
      <c r="F49" s="206">
        <f>1580.92+1394.9</f>
        <v>2975.82</v>
      </c>
      <c r="G49" s="65"/>
      <c r="H49" s="65"/>
      <c r="I49" s="42">
        <f>SUM(G49:H49)*$I$4</f>
        <v>0</v>
      </c>
      <c r="J49" s="42">
        <f>SUM(G49:I49)*$J$4</f>
        <v>0</v>
      </c>
      <c r="K49" s="42">
        <f t="shared" si="8"/>
        <v>0</v>
      </c>
      <c r="L49" s="42">
        <f t="shared" si="9"/>
        <v>0</v>
      </c>
      <c r="M49" s="91" t="s">
        <v>430</v>
      </c>
    </row>
    <row r="50" s="3" customFormat="1" ht="108" spans="1:13">
      <c r="A50" s="107">
        <v>7</v>
      </c>
      <c r="B50" s="120" t="s">
        <v>262</v>
      </c>
      <c r="C50" s="236" t="s">
        <v>263</v>
      </c>
      <c r="D50" s="204" t="s">
        <v>264</v>
      </c>
      <c r="E50" s="122" t="s">
        <v>265</v>
      </c>
      <c r="F50" s="147">
        <f>17+14</f>
        <v>31</v>
      </c>
      <c r="G50" s="112"/>
      <c r="H50" s="112"/>
      <c r="I50" s="156">
        <f>SUM(G50:H50)*$I$4</f>
        <v>0</v>
      </c>
      <c r="J50" s="156">
        <f>SUM(G50:I50)*$J$4</f>
        <v>0</v>
      </c>
      <c r="K50" s="156">
        <f t="shared" si="8"/>
        <v>0</v>
      </c>
      <c r="L50" s="156">
        <f t="shared" si="9"/>
        <v>0</v>
      </c>
      <c r="M50" s="158" t="s">
        <v>426</v>
      </c>
    </row>
    <row r="51" s="3" customFormat="1" ht="48" spans="1:13">
      <c r="A51" s="107">
        <v>10</v>
      </c>
      <c r="B51" s="237" t="s">
        <v>267</v>
      </c>
      <c r="C51" s="230" t="s">
        <v>268</v>
      </c>
      <c r="D51" s="238" t="s">
        <v>269</v>
      </c>
      <c r="E51" s="239" t="s">
        <v>211</v>
      </c>
      <c r="F51" s="147">
        <f>3.7+3.39+(9.4+8.81)</f>
        <v>25.3</v>
      </c>
      <c r="G51" s="112"/>
      <c r="H51" s="112"/>
      <c r="I51" s="156">
        <f>SUM(G51:H51)*$I$4</f>
        <v>0</v>
      </c>
      <c r="J51" s="156">
        <f>SUM(G51:I51)*$J$4</f>
        <v>0</v>
      </c>
      <c r="K51" s="156">
        <f t="shared" si="8"/>
        <v>0</v>
      </c>
      <c r="L51" s="156">
        <f t="shared" si="9"/>
        <v>0</v>
      </c>
      <c r="M51" s="29" t="s">
        <v>489</v>
      </c>
    </row>
    <row r="52" s="242" customFormat="1" ht="48" customHeight="1" spans="1:13">
      <c r="A52" s="132">
        <v>11</v>
      </c>
      <c r="B52" s="253" t="s">
        <v>490</v>
      </c>
      <c r="C52" s="254" t="s">
        <v>491</v>
      </c>
      <c r="D52" s="255" t="s">
        <v>269</v>
      </c>
      <c r="E52" s="256" t="s">
        <v>211</v>
      </c>
      <c r="F52" s="257">
        <v>561.79</v>
      </c>
      <c r="G52" s="138"/>
      <c r="H52" s="138"/>
      <c r="I52" s="159">
        <f>SUM(G52:H52)*$I$4</f>
        <v>0</v>
      </c>
      <c r="J52" s="159">
        <f>SUM(G52:I52)*$J$4</f>
        <v>0</v>
      </c>
      <c r="K52" s="159">
        <f t="shared" si="8"/>
        <v>0</v>
      </c>
      <c r="L52" s="159">
        <f t="shared" si="9"/>
        <v>0</v>
      </c>
      <c r="M52" s="29" t="s">
        <v>492</v>
      </c>
    </row>
    <row r="53" s="3" customFormat="1" ht="27" customHeight="1" spans="1:13">
      <c r="A53" s="107">
        <v>16</v>
      </c>
      <c r="B53" s="143" t="s">
        <v>290</v>
      </c>
      <c r="C53" s="144" t="s">
        <v>493</v>
      </c>
      <c r="D53" s="230" t="s">
        <v>292</v>
      </c>
      <c r="E53" s="146" t="s">
        <v>138</v>
      </c>
      <c r="F53" s="147">
        <f>60*2</f>
        <v>120</v>
      </c>
      <c r="G53" s="112"/>
      <c r="H53" s="112"/>
      <c r="I53" s="156">
        <f>SUM(G53:H53)*$I$4</f>
        <v>0</v>
      </c>
      <c r="J53" s="156">
        <f>SUM(G53:I53)*$J$4</f>
        <v>0</v>
      </c>
      <c r="K53" s="156">
        <f t="shared" si="8"/>
        <v>0</v>
      </c>
      <c r="L53" s="156">
        <f t="shared" si="9"/>
        <v>0</v>
      </c>
      <c r="M53" s="112"/>
    </row>
    <row r="54" s="2" customFormat="1" ht="30" customHeight="1" spans="1:13">
      <c r="A54" s="58" t="s">
        <v>402</v>
      </c>
      <c r="B54" s="164" t="s">
        <v>494</v>
      </c>
      <c r="C54" s="165"/>
      <c r="D54" s="60"/>
      <c r="E54" s="60"/>
      <c r="F54" s="60"/>
      <c r="G54" s="61"/>
      <c r="H54" s="62"/>
      <c r="I54" s="62"/>
      <c r="J54" s="62"/>
      <c r="K54" s="62"/>
      <c r="L54" s="89"/>
      <c r="M54" s="62"/>
    </row>
    <row r="55" s="2" customFormat="1" ht="72" spans="1:13">
      <c r="A55" s="24">
        <v>1</v>
      </c>
      <c r="B55" s="25" t="s">
        <v>256</v>
      </c>
      <c r="C55" s="118" t="s">
        <v>480</v>
      </c>
      <c r="D55" s="76" t="s">
        <v>197</v>
      </c>
      <c r="E55" s="66" t="s">
        <v>198</v>
      </c>
      <c r="F55" s="206">
        <f>2372.52+2037.62+2271.63+447.14*3</f>
        <v>8023.19</v>
      </c>
      <c r="G55" s="65"/>
      <c r="H55" s="65"/>
      <c r="I55" s="42">
        <f>SUM(G55:H55)*$I$4</f>
        <v>0</v>
      </c>
      <c r="J55" s="42">
        <f>SUM(G55:I55)*$J$4</f>
        <v>0</v>
      </c>
      <c r="K55" s="42">
        <f t="shared" ref="K55:K62" si="10">SUM(G55:J55)</f>
        <v>0</v>
      </c>
      <c r="L55" s="42">
        <f t="shared" ref="L55:L62" si="11">F55*K55</f>
        <v>0</v>
      </c>
      <c r="M55" s="29" t="s">
        <v>419</v>
      </c>
    </row>
    <row r="56" s="97" customFormat="1" ht="54" customHeight="1" spans="1:13">
      <c r="A56" s="132">
        <v>3</v>
      </c>
      <c r="B56" s="133" t="s">
        <v>481</v>
      </c>
      <c r="C56" s="234" t="s">
        <v>482</v>
      </c>
      <c r="D56" s="258" t="s">
        <v>349</v>
      </c>
      <c r="E56" s="136" t="s">
        <v>198</v>
      </c>
      <c r="F56" s="257">
        <v>0.94</v>
      </c>
      <c r="G56" s="138"/>
      <c r="H56" s="138"/>
      <c r="I56" s="159">
        <f>SUM(G56:H56)*$I$4</f>
        <v>0</v>
      </c>
      <c r="J56" s="159">
        <f>SUM(G56:I56)*$J$4</f>
        <v>0</v>
      </c>
      <c r="K56" s="159">
        <f t="shared" si="10"/>
        <v>0</v>
      </c>
      <c r="L56" s="159">
        <f t="shared" si="11"/>
        <v>0</v>
      </c>
      <c r="M56" s="91" t="s">
        <v>412</v>
      </c>
    </row>
    <row r="57" s="97" customFormat="1" ht="60" spans="1:13">
      <c r="A57" s="132">
        <v>4</v>
      </c>
      <c r="B57" s="259" t="s">
        <v>483</v>
      </c>
      <c r="C57" s="234" t="s">
        <v>484</v>
      </c>
      <c r="D57" s="258" t="s">
        <v>349</v>
      </c>
      <c r="E57" s="260" t="s">
        <v>211</v>
      </c>
      <c r="F57" s="261">
        <f>27.04+50.99+27.04</f>
        <v>105.07</v>
      </c>
      <c r="G57" s="138"/>
      <c r="H57" s="138"/>
      <c r="I57" s="159">
        <f>SUM(G57:H57)*$I$4</f>
        <v>0</v>
      </c>
      <c r="J57" s="159">
        <f>SUM(G57:I57)*$J$4</f>
        <v>0</v>
      </c>
      <c r="K57" s="159">
        <f t="shared" si="10"/>
        <v>0</v>
      </c>
      <c r="L57" s="159">
        <f t="shared" si="11"/>
        <v>0</v>
      </c>
      <c r="M57" s="29" t="s">
        <v>485</v>
      </c>
    </row>
    <row r="58" s="97" customFormat="1" ht="60" spans="1:13">
      <c r="A58" s="132">
        <v>5</v>
      </c>
      <c r="B58" s="259" t="s">
        <v>486</v>
      </c>
      <c r="C58" s="234" t="s">
        <v>487</v>
      </c>
      <c r="D58" s="258" t="s">
        <v>349</v>
      </c>
      <c r="E58" s="260" t="s">
        <v>211</v>
      </c>
      <c r="F58" s="261">
        <v>29.6</v>
      </c>
      <c r="G58" s="138"/>
      <c r="H58" s="138"/>
      <c r="I58" s="159">
        <f>SUM(G58:H58)*$I$4</f>
        <v>0</v>
      </c>
      <c r="J58" s="159">
        <f>SUM(G58:I58)*$J$4</f>
        <v>0</v>
      </c>
      <c r="K58" s="159">
        <f t="shared" si="10"/>
        <v>0</v>
      </c>
      <c r="L58" s="159">
        <f t="shared" si="11"/>
        <v>0</v>
      </c>
      <c r="M58" s="29" t="s">
        <v>485</v>
      </c>
    </row>
    <row r="59" s="2" customFormat="1" ht="96" spans="1:13">
      <c r="A59" s="24">
        <v>6</v>
      </c>
      <c r="B59" s="25" t="s">
        <v>259</v>
      </c>
      <c r="C59" s="63" t="s">
        <v>488</v>
      </c>
      <c r="D59" s="76" t="s">
        <v>197</v>
      </c>
      <c r="E59" s="66" t="s">
        <v>198</v>
      </c>
      <c r="F59" s="206">
        <f>1085.43+1186.94+1413.5</f>
        <v>3685.87</v>
      </c>
      <c r="G59" s="65"/>
      <c r="H59" s="65"/>
      <c r="I59" s="42">
        <f>SUM(G59:H59)*$I$4</f>
        <v>0</v>
      </c>
      <c r="J59" s="42">
        <f>SUM(G59:I59)*$J$4</f>
        <v>0</v>
      </c>
      <c r="K59" s="42">
        <f t="shared" si="10"/>
        <v>0</v>
      </c>
      <c r="L59" s="42">
        <f t="shared" si="11"/>
        <v>0</v>
      </c>
      <c r="M59" s="29" t="s">
        <v>410</v>
      </c>
    </row>
    <row r="60" s="3" customFormat="1" ht="108" spans="1:13">
      <c r="A60" s="107">
        <v>8</v>
      </c>
      <c r="B60" s="120" t="s">
        <v>262</v>
      </c>
      <c r="C60" s="236" t="s">
        <v>263</v>
      </c>
      <c r="D60" s="204" t="s">
        <v>264</v>
      </c>
      <c r="E60" s="122" t="s">
        <v>265</v>
      </c>
      <c r="F60" s="147">
        <f>17+14+15</f>
        <v>46</v>
      </c>
      <c r="G60" s="112"/>
      <c r="H60" s="112"/>
      <c r="I60" s="156">
        <f>SUM(G60:H60)*$I$4</f>
        <v>0</v>
      </c>
      <c r="J60" s="156">
        <f>SUM(G60:I60)*$J$4</f>
        <v>0</v>
      </c>
      <c r="K60" s="156">
        <f t="shared" si="10"/>
        <v>0</v>
      </c>
      <c r="L60" s="156">
        <f t="shared" si="11"/>
        <v>0</v>
      </c>
      <c r="M60" s="158" t="s">
        <v>426</v>
      </c>
    </row>
    <row r="61" s="3" customFormat="1" ht="37.95" customHeight="1" spans="1:13">
      <c r="A61" s="107">
        <v>10</v>
      </c>
      <c r="B61" s="237" t="s">
        <v>267</v>
      </c>
      <c r="C61" s="230" t="s">
        <v>268</v>
      </c>
      <c r="D61" s="238" t="s">
        <v>269</v>
      </c>
      <c r="E61" s="239" t="s">
        <v>211</v>
      </c>
      <c r="F61" s="147">
        <f>7.23+7.23+(8.81*2+10.88)</f>
        <v>42.96</v>
      </c>
      <c r="G61" s="112"/>
      <c r="H61" s="112"/>
      <c r="I61" s="156">
        <f>SUM(G61:H61)*$I$4</f>
        <v>0</v>
      </c>
      <c r="J61" s="156">
        <f>SUM(G61:I61)*$J$4</f>
        <v>0</v>
      </c>
      <c r="K61" s="156">
        <f t="shared" si="10"/>
        <v>0</v>
      </c>
      <c r="L61" s="156">
        <f t="shared" si="11"/>
        <v>0</v>
      </c>
      <c r="M61" s="158" t="s">
        <v>447</v>
      </c>
    </row>
    <row r="62" s="3" customFormat="1" ht="36" spans="1:13">
      <c r="A62" s="107">
        <v>16</v>
      </c>
      <c r="B62" s="143" t="s">
        <v>290</v>
      </c>
      <c r="C62" s="144" t="s">
        <v>291</v>
      </c>
      <c r="D62" s="230" t="s">
        <v>292</v>
      </c>
      <c r="E62" s="146" t="s">
        <v>138</v>
      </c>
      <c r="F62" s="147">
        <f>60*3</f>
        <v>180</v>
      </c>
      <c r="G62" s="112"/>
      <c r="H62" s="112"/>
      <c r="I62" s="156">
        <f>SUM(G62:H62)*$I$4</f>
        <v>0</v>
      </c>
      <c r="J62" s="156">
        <f>SUM(G62:I62)*$J$4</f>
        <v>0</v>
      </c>
      <c r="K62" s="156">
        <f t="shared" si="10"/>
        <v>0</v>
      </c>
      <c r="L62" s="156">
        <f t="shared" si="11"/>
        <v>0</v>
      </c>
      <c r="M62" s="112"/>
    </row>
    <row r="63" ht="30" customHeight="1" spans="1:13">
      <c r="A63" s="61" t="s">
        <v>409</v>
      </c>
      <c r="B63" s="164" t="s">
        <v>294</v>
      </c>
      <c r="C63" s="165"/>
      <c r="D63" s="60"/>
      <c r="E63" s="60"/>
      <c r="F63" s="60"/>
      <c r="G63" s="61"/>
      <c r="H63" s="62"/>
      <c r="I63" s="62"/>
      <c r="J63" s="62"/>
      <c r="K63" s="62"/>
      <c r="L63" s="89"/>
      <c r="M63" s="62"/>
    </row>
    <row r="64" s="3" customFormat="1" ht="25.95" customHeight="1" spans="1:13">
      <c r="A64" s="24">
        <v>2</v>
      </c>
      <c r="B64" s="27" t="s">
        <v>295</v>
      </c>
      <c r="C64" s="27" t="s">
        <v>296</v>
      </c>
      <c r="D64" s="27" t="s">
        <v>297</v>
      </c>
      <c r="E64" s="28" t="s">
        <v>198</v>
      </c>
      <c r="F64" s="119">
        <v>13427.55</v>
      </c>
      <c r="G64" s="65"/>
      <c r="H64" s="65"/>
      <c r="I64" s="42">
        <f>SUM(G64:H64)*$I$4</f>
        <v>0</v>
      </c>
      <c r="J64" s="42">
        <f>SUM(G64:I64)*$J$4</f>
        <v>0</v>
      </c>
      <c r="K64" s="42">
        <f>SUM(G64:J64)</f>
        <v>0</v>
      </c>
      <c r="L64" s="42">
        <f t="shared" ref="L64:L66" si="12">F64*K64</f>
        <v>0</v>
      </c>
      <c r="M64" s="91" t="s">
        <v>298</v>
      </c>
    </row>
    <row r="65" s="3" customFormat="1" ht="25.95" customHeight="1" spans="1:13">
      <c r="A65" s="24">
        <v>3</v>
      </c>
      <c r="B65" s="27" t="s">
        <v>299</v>
      </c>
      <c r="C65" s="27" t="s">
        <v>300</v>
      </c>
      <c r="D65" s="27" t="s">
        <v>297</v>
      </c>
      <c r="E65" s="28" t="s">
        <v>198</v>
      </c>
      <c r="F65" s="119">
        <v>13427.55</v>
      </c>
      <c r="G65" s="65"/>
      <c r="H65" s="65"/>
      <c r="I65" s="42">
        <f>SUM(G65:H65)*$I$4</f>
        <v>0</v>
      </c>
      <c r="J65" s="42">
        <f>SUM(G65:I65)*$J$4</f>
        <v>0</v>
      </c>
      <c r="K65" s="42">
        <f>SUM(G65:J65)</f>
        <v>0</v>
      </c>
      <c r="L65" s="42">
        <f t="shared" si="12"/>
        <v>0</v>
      </c>
      <c r="M65" s="91" t="s">
        <v>301</v>
      </c>
    </row>
    <row r="66" s="3" customFormat="1" ht="25.95" customHeight="1" spans="1:13">
      <c r="A66" s="24">
        <v>4</v>
      </c>
      <c r="B66" s="27" t="s">
        <v>302</v>
      </c>
      <c r="C66" s="27" t="s">
        <v>302</v>
      </c>
      <c r="D66" s="27" t="s">
        <v>297</v>
      </c>
      <c r="E66" s="28" t="s">
        <v>198</v>
      </c>
      <c r="F66" s="119">
        <v>13427.55</v>
      </c>
      <c r="G66" s="65"/>
      <c r="H66" s="65"/>
      <c r="I66" s="42">
        <f>SUM(G66:H66)*$I$4</f>
        <v>0</v>
      </c>
      <c r="J66" s="42">
        <f>SUM(G66:I66)*$J$4</f>
        <v>0</v>
      </c>
      <c r="K66" s="42">
        <f>SUM(G66:J66)</f>
        <v>0</v>
      </c>
      <c r="L66" s="42">
        <f t="shared" si="12"/>
        <v>0</v>
      </c>
      <c r="M66" s="91" t="s">
        <v>303</v>
      </c>
    </row>
    <row r="67" ht="24.9" customHeight="1" spans="1:13">
      <c r="A67" s="77"/>
      <c r="B67" s="218" t="s">
        <v>63</v>
      </c>
      <c r="C67" s="219"/>
      <c r="D67" s="80"/>
      <c r="E67" s="80"/>
      <c r="F67" s="80"/>
      <c r="G67" s="262"/>
      <c r="H67" s="263"/>
      <c r="I67" s="263"/>
      <c r="J67" s="263"/>
      <c r="K67" s="263"/>
      <c r="L67" s="264" t="e">
        <f>SUM(L5:L66)</f>
        <v>#REF!</v>
      </c>
      <c r="M67" s="263"/>
    </row>
  </sheetData>
  <protectedRanges>
    <protectedRange sqref="B15" name="区域2_1_1_3_2_1"/>
  </protectedRanges>
  <autoFilter ref="A3:M67">
    <extLst/>
  </autoFilter>
  <mergeCells count="21">
    <mergeCell ref="A1:M1"/>
    <mergeCell ref="G2:J2"/>
    <mergeCell ref="B5:C5"/>
    <mergeCell ref="B16:C16"/>
    <mergeCell ref="B24:C24"/>
    <mergeCell ref="B32:C32"/>
    <mergeCell ref="B44:C44"/>
    <mergeCell ref="B54:C54"/>
    <mergeCell ref="B63:C63"/>
    <mergeCell ref="B67:C67"/>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118"/>
  <sheetViews>
    <sheetView view="pageBreakPreview" zoomScale="90" zoomScaleNormal="100" workbookViewId="0">
      <pane ySplit="4" topLeftCell="A84" activePane="bottomLeft" state="frozen"/>
      <selection/>
      <selection pane="bottomLeft" activeCell="J84" sqref="J84"/>
    </sheetView>
  </sheetViews>
  <sheetFormatPr defaultColWidth="9" defaultRowHeight="14"/>
  <cols>
    <col min="1" max="1" width="6.21818181818182" style="47" customWidth="1"/>
    <col min="2" max="2" width="18.7818181818182" style="47" customWidth="1"/>
    <col min="3" max="3" width="25.4454545454545"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99" t="s">
        <v>83</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ht="24" customHeight="1" spans="1:13">
      <c r="A5" s="220" t="s">
        <v>193</v>
      </c>
      <c r="B5" s="221" t="s">
        <v>455</v>
      </c>
      <c r="C5" s="221"/>
      <c r="D5" s="222"/>
      <c r="E5" s="222"/>
      <c r="F5" s="222"/>
      <c r="G5" s="223"/>
      <c r="H5" s="224"/>
      <c r="I5" s="224"/>
      <c r="J5" s="224"/>
      <c r="K5" s="224"/>
      <c r="L5" s="231"/>
      <c r="M5" s="224"/>
    </row>
    <row r="6" s="2" customFormat="1" ht="96" spans="1:13">
      <c r="A6" s="24">
        <v>1</v>
      </c>
      <c r="B6" s="63" t="s">
        <v>495</v>
      </c>
      <c r="C6" s="63" t="s">
        <v>496</v>
      </c>
      <c r="D6" s="76" t="s">
        <v>197</v>
      </c>
      <c r="E6" s="225" t="s">
        <v>198</v>
      </c>
      <c r="F6" s="106">
        <f>3361.52-250.42</f>
        <v>3111.1</v>
      </c>
      <c r="G6" s="29"/>
      <c r="H6" s="29"/>
      <c r="I6" s="42">
        <f>SUM(G6:H6)*$I$4</f>
        <v>0</v>
      </c>
      <c r="J6" s="42">
        <f>SUM(G6:I6)*$J$4</f>
        <v>0</v>
      </c>
      <c r="K6" s="42">
        <f t="shared" ref="K6:K14" si="0">SUM(G6:J6)</f>
        <v>0</v>
      </c>
      <c r="L6" s="42">
        <f t="shared" ref="L6:L14" si="1">F6*K6</f>
        <v>0</v>
      </c>
      <c r="M6" s="91" t="s">
        <v>430</v>
      </c>
    </row>
    <row r="7" s="2" customFormat="1" ht="108" spans="1:13">
      <c r="A7" s="24">
        <v>2</v>
      </c>
      <c r="B7" s="63" t="s">
        <v>305</v>
      </c>
      <c r="C7" s="63" t="s">
        <v>329</v>
      </c>
      <c r="D7" s="76" t="s">
        <v>330</v>
      </c>
      <c r="E7" s="225" t="s">
        <v>198</v>
      </c>
      <c r="F7" s="106">
        <v>250.42</v>
      </c>
      <c r="G7" s="29"/>
      <c r="H7" s="29"/>
      <c r="I7" s="42">
        <f>SUM(G7:H7)*$I$4</f>
        <v>0</v>
      </c>
      <c r="J7" s="42">
        <f>SUM(G7:I7)*$J$4</f>
        <v>0</v>
      </c>
      <c r="K7" s="42">
        <f t="shared" si="0"/>
        <v>0</v>
      </c>
      <c r="L7" s="42">
        <f t="shared" si="1"/>
        <v>0</v>
      </c>
      <c r="M7" s="29" t="s">
        <v>410</v>
      </c>
    </row>
    <row r="8" s="97" customFormat="1" ht="108" spans="1:13">
      <c r="A8" s="24">
        <v>3</v>
      </c>
      <c r="B8" s="63" t="s">
        <v>195</v>
      </c>
      <c r="C8" s="63" t="s">
        <v>200</v>
      </c>
      <c r="D8" s="76" t="s">
        <v>197</v>
      </c>
      <c r="E8" s="225" t="s">
        <v>198</v>
      </c>
      <c r="F8" s="64">
        <f>11.7+7.4+9.1+11.3+15.4</f>
        <v>54.9</v>
      </c>
      <c r="G8" s="29"/>
      <c r="H8" s="29"/>
      <c r="I8" s="42">
        <f>SUM(G8:H8)*$I$4</f>
        <v>0</v>
      </c>
      <c r="J8" s="42">
        <f>SUM(G8:I8)*$J$4</f>
        <v>0</v>
      </c>
      <c r="K8" s="42">
        <f t="shared" si="0"/>
        <v>0</v>
      </c>
      <c r="L8" s="42">
        <f t="shared" si="1"/>
        <v>0</v>
      </c>
      <c r="M8" s="29" t="s">
        <v>410</v>
      </c>
    </row>
    <row r="9" s="97" customFormat="1" ht="84" spans="1:13">
      <c r="A9" s="132">
        <v>4</v>
      </c>
      <c r="B9" s="226" t="s">
        <v>497</v>
      </c>
      <c r="C9" s="226" t="s">
        <v>498</v>
      </c>
      <c r="D9" s="226" t="s">
        <v>197</v>
      </c>
      <c r="E9" s="226" t="s">
        <v>198</v>
      </c>
      <c r="F9" s="179">
        <v>2599.52</v>
      </c>
      <c r="G9" s="138"/>
      <c r="H9" s="138"/>
      <c r="I9" s="159">
        <f>SUM(G9:H9)*$I$4</f>
        <v>0</v>
      </c>
      <c r="J9" s="159">
        <f>SUM(G9:I9)*$J$4</f>
        <v>0</v>
      </c>
      <c r="K9" s="159">
        <f t="shared" si="0"/>
        <v>0</v>
      </c>
      <c r="L9" s="159">
        <f t="shared" si="1"/>
        <v>0</v>
      </c>
      <c r="M9" s="138" t="s">
        <v>427</v>
      </c>
    </row>
    <row r="10" s="2" customFormat="1" ht="84" spans="1:13">
      <c r="A10" s="24">
        <v>6</v>
      </c>
      <c r="B10" s="63" t="s">
        <v>219</v>
      </c>
      <c r="C10" s="63" t="s">
        <v>499</v>
      </c>
      <c r="D10" s="63" t="s">
        <v>197</v>
      </c>
      <c r="E10" s="63" t="s">
        <v>198</v>
      </c>
      <c r="F10" s="106">
        <v>38.12</v>
      </c>
      <c r="G10" s="29"/>
      <c r="H10" s="29"/>
      <c r="I10" s="42">
        <f>SUM(G10:H10)*$I$4</f>
        <v>0</v>
      </c>
      <c r="J10" s="42">
        <f>SUM(G10:I10)*$J$4</f>
        <v>0</v>
      </c>
      <c r="K10" s="42">
        <f t="shared" si="0"/>
        <v>0</v>
      </c>
      <c r="L10" s="42">
        <f t="shared" si="1"/>
        <v>0</v>
      </c>
      <c r="M10" s="29" t="s">
        <v>414</v>
      </c>
    </row>
    <row r="11" s="2" customFormat="1" ht="24" spans="1:13">
      <c r="A11" s="24">
        <v>9</v>
      </c>
      <c r="B11" s="63" t="s">
        <v>208</v>
      </c>
      <c r="C11" s="63" t="s">
        <v>465</v>
      </c>
      <c r="D11" s="63" t="s">
        <v>210</v>
      </c>
      <c r="E11" s="63" t="s">
        <v>211</v>
      </c>
      <c r="F11" s="106" t="e">
        <f>#REF!+#REF!</f>
        <v>#REF!</v>
      </c>
      <c r="G11" s="29"/>
      <c r="H11" s="29"/>
      <c r="I11" s="42">
        <f>SUM(G11:H11)*$I$4</f>
        <v>0</v>
      </c>
      <c r="J11" s="42">
        <f>SUM(G11:I11)*$J$4</f>
        <v>0</v>
      </c>
      <c r="K11" s="42">
        <f t="shared" si="0"/>
        <v>0</v>
      </c>
      <c r="L11" s="42" t="e">
        <f t="shared" si="1"/>
        <v>#REF!</v>
      </c>
      <c r="M11" s="29" t="s">
        <v>212</v>
      </c>
    </row>
    <row r="12" s="2" customFormat="1" ht="24" spans="1:13">
      <c r="A12" s="24">
        <v>10</v>
      </c>
      <c r="B12" s="63" t="s">
        <v>213</v>
      </c>
      <c r="C12" s="63" t="s">
        <v>214</v>
      </c>
      <c r="D12" s="63" t="s">
        <v>215</v>
      </c>
      <c r="E12" s="63" t="s">
        <v>211</v>
      </c>
      <c r="F12" s="106" t="e">
        <f>F11</f>
        <v>#REF!</v>
      </c>
      <c r="G12" s="29"/>
      <c r="H12" s="29"/>
      <c r="I12" s="42">
        <f>SUM(G12:H12)*$I$4</f>
        <v>0</v>
      </c>
      <c r="J12" s="42">
        <f>SUM(G12:I12)*$J$4</f>
        <v>0</v>
      </c>
      <c r="K12" s="42">
        <f t="shared" si="0"/>
        <v>0</v>
      </c>
      <c r="L12" s="42" t="e">
        <f t="shared" si="1"/>
        <v>#REF!</v>
      </c>
      <c r="M12" s="29" t="s">
        <v>212</v>
      </c>
    </row>
    <row r="13" s="2" customFormat="1" ht="22.05" customHeight="1" spans="1:13">
      <c r="A13" s="24">
        <v>11</v>
      </c>
      <c r="B13" s="63" t="s">
        <v>500</v>
      </c>
      <c r="C13" s="63" t="s">
        <v>435</v>
      </c>
      <c r="D13" s="63" t="s">
        <v>210</v>
      </c>
      <c r="E13" s="63" t="s">
        <v>211</v>
      </c>
      <c r="F13" s="106" t="e">
        <f>#REF!</f>
        <v>#REF!</v>
      </c>
      <c r="G13" s="29"/>
      <c r="H13" s="29"/>
      <c r="I13" s="42">
        <f>SUM(G13:H13)*$I$4</f>
        <v>0</v>
      </c>
      <c r="J13" s="42">
        <f>SUM(G13:I13)*$J$4</f>
        <v>0</v>
      </c>
      <c r="K13" s="42">
        <f t="shared" si="0"/>
        <v>0</v>
      </c>
      <c r="L13" s="42" t="e">
        <f t="shared" si="1"/>
        <v>#REF!</v>
      </c>
      <c r="M13" s="29" t="s">
        <v>436</v>
      </c>
    </row>
    <row r="14" s="2" customFormat="1" ht="37.95" customHeight="1" spans="1:13">
      <c r="A14" s="24">
        <v>12</v>
      </c>
      <c r="B14" s="63" t="s">
        <v>221</v>
      </c>
      <c r="C14" s="63" t="s">
        <v>222</v>
      </c>
      <c r="D14" s="63" t="s">
        <v>223</v>
      </c>
      <c r="E14" s="63" t="s">
        <v>178</v>
      </c>
      <c r="F14" s="64">
        <f>(6.75+8.67)*7*0.4</f>
        <v>43.176</v>
      </c>
      <c r="G14" s="29"/>
      <c r="H14" s="29"/>
      <c r="I14" s="42">
        <f>SUM(G14:H14)*$I$4</f>
        <v>0</v>
      </c>
      <c r="J14" s="42">
        <f>SUM(G14:I14)*$J$4</f>
        <v>0</v>
      </c>
      <c r="K14" s="42">
        <f t="shared" si="0"/>
        <v>0</v>
      </c>
      <c r="L14" s="42">
        <f t="shared" si="1"/>
        <v>0</v>
      </c>
      <c r="M14" s="29" t="s">
        <v>224</v>
      </c>
    </row>
    <row r="15" s="2" customFormat="1" ht="24" customHeight="1" spans="1:13">
      <c r="A15" s="220" t="s">
        <v>225</v>
      </c>
      <c r="B15" s="221" t="s">
        <v>466</v>
      </c>
      <c r="C15" s="221"/>
      <c r="D15" s="227"/>
      <c r="E15" s="227"/>
      <c r="F15" s="222"/>
      <c r="G15" s="223"/>
      <c r="H15" s="224"/>
      <c r="I15" s="224"/>
      <c r="J15" s="224"/>
      <c r="K15" s="224"/>
      <c r="L15" s="231"/>
      <c r="M15" s="224"/>
    </row>
    <row r="16" s="2" customFormat="1" ht="96" spans="1:13">
      <c r="A16" s="24">
        <v>1</v>
      </c>
      <c r="B16" s="63" t="s">
        <v>495</v>
      </c>
      <c r="C16" s="63" t="s">
        <v>496</v>
      </c>
      <c r="D16" s="76" t="s">
        <v>197</v>
      </c>
      <c r="E16" s="225" t="s">
        <v>198</v>
      </c>
      <c r="F16" s="104">
        <f>4838.01-253.79</f>
        <v>4584.22</v>
      </c>
      <c r="G16" s="66"/>
      <c r="H16" s="105"/>
      <c r="I16" s="42">
        <f>SUM(G16:H16)*$I$4</f>
        <v>0</v>
      </c>
      <c r="J16" s="42">
        <f>SUM(G16:I16)*$J$4</f>
        <v>0</v>
      </c>
      <c r="K16" s="42">
        <f>SUM(G16:J16)</f>
        <v>0</v>
      </c>
      <c r="L16" s="42">
        <f t="shared" ref="L16:L19" si="2">F16*K16</f>
        <v>0</v>
      </c>
      <c r="M16" s="29" t="s">
        <v>410</v>
      </c>
    </row>
    <row r="17" s="2" customFormat="1" ht="108" spans="1:13">
      <c r="A17" s="24">
        <v>2</v>
      </c>
      <c r="B17" s="63" t="s">
        <v>305</v>
      </c>
      <c r="C17" s="63" t="s">
        <v>329</v>
      </c>
      <c r="D17" s="76" t="s">
        <v>330</v>
      </c>
      <c r="E17" s="225" t="s">
        <v>198</v>
      </c>
      <c r="F17" s="106">
        <v>253.79</v>
      </c>
      <c r="G17" s="66"/>
      <c r="H17" s="105"/>
      <c r="I17" s="42">
        <f>SUM(G17:H17)*$I$4</f>
        <v>0</v>
      </c>
      <c r="J17" s="42">
        <f>SUM(G17:I17)*$J$4</f>
        <v>0</v>
      </c>
      <c r="K17" s="42">
        <f>SUM(G17:J17)</f>
        <v>0</v>
      </c>
      <c r="L17" s="42">
        <f t="shared" si="2"/>
        <v>0</v>
      </c>
      <c r="M17" s="29" t="s">
        <v>410</v>
      </c>
    </row>
    <row r="18" s="97" customFormat="1" ht="108" spans="1:13">
      <c r="A18" s="24">
        <v>3</v>
      </c>
      <c r="B18" s="63" t="s">
        <v>195</v>
      </c>
      <c r="C18" s="63" t="s">
        <v>200</v>
      </c>
      <c r="D18" s="76" t="s">
        <v>197</v>
      </c>
      <c r="E18" s="225" t="s">
        <v>198</v>
      </c>
      <c r="F18" s="64">
        <f>16.2+6.9+9.1</f>
        <v>32.2</v>
      </c>
      <c r="G18" s="29"/>
      <c r="H18" s="29"/>
      <c r="I18" s="42">
        <f>SUM(G18:H18)*$I$4</f>
        <v>0</v>
      </c>
      <c r="J18" s="42">
        <f>SUM(G18:I18)*$J$4</f>
        <v>0</v>
      </c>
      <c r="K18" s="42">
        <f>SUM(G18:J18)</f>
        <v>0</v>
      </c>
      <c r="L18" s="42">
        <f t="shared" si="2"/>
        <v>0</v>
      </c>
      <c r="M18" s="29" t="s">
        <v>410</v>
      </c>
    </row>
    <row r="19" s="2" customFormat="1" ht="84" spans="1:13">
      <c r="A19" s="24">
        <v>5</v>
      </c>
      <c r="B19" s="63" t="s">
        <v>219</v>
      </c>
      <c r="C19" s="63" t="s">
        <v>499</v>
      </c>
      <c r="D19" s="63" t="s">
        <v>197</v>
      </c>
      <c r="E19" s="63" t="s">
        <v>198</v>
      </c>
      <c r="F19" s="104">
        <v>25.98</v>
      </c>
      <c r="G19" s="66"/>
      <c r="H19" s="105"/>
      <c r="I19" s="42">
        <f>SUM(G19:H19)*$I$4</f>
        <v>0</v>
      </c>
      <c r="J19" s="42">
        <f>SUM(G19:I19)*$J$4</f>
        <v>0</v>
      </c>
      <c r="K19" s="42">
        <f>SUM(G19:J19)</f>
        <v>0</v>
      </c>
      <c r="L19" s="42">
        <f t="shared" si="2"/>
        <v>0</v>
      </c>
      <c r="M19" s="29" t="s">
        <v>414</v>
      </c>
    </row>
    <row r="20" s="2" customFormat="1" ht="24" customHeight="1" spans="1:13">
      <c r="A20" s="220" t="s">
        <v>254</v>
      </c>
      <c r="B20" s="221" t="s">
        <v>501</v>
      </c>
      <c r="C20" s="221"/>
      <c r="D20" s="227"/>
      <c r="E20" s="227"/>
      <c r="F20" s="222"/>
      <c r="G20" s="223"/>
      <c r="H20" s="224"/>
      <c r="I20" s="224"/>
      <c r="J20" s="224"/>
      <c r="K20" s="224"/>
      <c r="L20" s="231"/>
      <c r="M20" s="224"/>
    </row>
    <row r="21" s="97" customFormat="1" ht="84" spans="1:13">
      <c r="A21" s="228" t="s">
        <v>468</v>
      </c>
      <c r="B21" s="226" t="s">
        <v>502</v>
      </c>
      <c r="C21" s="226" t="s">
        <v>503</v>
      </c>
      <c r="D21" s="226" t="s">
        <v>197</v>
      </c>
      <c r="E21" s="226" t="s">
        <v>198</v>
      </c>
      <c r="F21" s="179">
        <v>74.78</v>
      </c>
      <c r="G21" s="138"/>
      <c r="H21" s="138"/>
      <c r="I21" s="159">
        <f>SUM(G21:H21)*$I$4</f>
        <v>0</v>
      </c>
      <c r="J21" s="159">
        <f>SUM(G21:I21)*$J$4</f>
        <v>0</v>
      </c>
      <c r="K21" s="159">
        <f t="shared" ref="K21:K27" si="3">SUM(G21:J21)</f>
        <v>0</v>
      </c>
      <c r="L21" s="159">
        <f t="shared" ref="L21:L27" si="4">F21*K21</f>
        <v>0</v>
      </c>
      <c r="M21" s="29" t="s">
        <v>504</v>
      </c>
    </row>
    <row r="22" s="2" customFormat="1" ht="96" spans="1:13">
      <c r="A22" s="102" t="s">
        <v>469</v>
      </c>
      <c r="B22" s="63" t="s">
        <v>495</v>
      </c>
      <c r="C22" s="63" t="s">
        <v>496</v>
      </c>
      <c r="D22" s="76" t="s">
        <v>197</v>
      </c>
      <c r="E22" s="225" t="s">
        <v>198</v>
      </c>
      <c r="F22" s="104">
        <f>5536.24-270.46</f>
        <v>5265.78</v>
      </c>
      <c r="G22" s="66"/>
      <c r="H22" s="105"/>
      <c r="I22" s="42">
        <f>SUM(G22:H22)*$I$4</f>
        <v>0</v>
      </c>
      <c r="J22" s="42">
        <f>SUM(G22:I22)*$J$4</f>
        <v>0</v>
      </c>
      <c r="K22" s="42">
        <f t="shared" si="3"/>
        <v>0</v>
      </c>
      <c r="L22" s="42">
        <f t="shared" si="4"/>
        <v>0</v>
      </c>
      <c r="M22" s="29" t="s">
        <v>410</v>
      </c>
    </row>
    <row r="23" s="97" customFormat="1" ht="108" spans="1:13">
      <c r="A23" s="24">
        <v>3</v>
      </c>
      <c r="B23" s="63" t="s">
        <v>195</v>
      </c>
      <c r="C23" s="63" t="s">
        <v>200</v>
      </c>
      <c r="D23" s="76" t="s">
        <v>197</v>
      </c>
      <c r="E23" s="225" t="s">
        <v>198</v>
      </c>
      <c r="F23" s="64">
        <f>3.5+9.5+10.3+10.2+17.1</f>
        <v>50.6</v>
      </c>
      <c r="G23" s="29"/>
      <c r="H23" s="29"/>
      <c r="I23" s="42">
        <f>SUM(G23:H23)*$I$4</f>
        <v>0</v>
      </c>
      <c r="J23" s="42">
        <f>SUM(G23:I23)*$J$4</f>
        <v>0</v>
      </c>
      <c r="K23" s="42">
        <f t="shared" si="3"/>
        <v>0</v>
      </c>
      <c r="L23" s="42">
        <f t="shared" si="4"/>
        <v>0</v>
      </c>
      <c r="M23" s="29" t="s">
        <v>410</v>
      </c>
    </row>
    <row r="24" s="2" customFormat="1" ht="108" spans="1:13">
      <c r="A24" s="102" t="s">
        <v>505</v>
      </c>
      <c r="B24" s="63" t="s">
        <v>305</v>
      </c>
      <c r="C24" s="63" t="s">
        <v>329</v>
      </c>
      <c r="D24" s="76" t="s">
        <v>330</v>
      </c>
      <c r="E24" s="225" t="s">
        <v>198</v>
      </c>
      <c r="F24" s="106">
        <v>270.46</v>
      </c>
      <c r="G24" s="66"/>
      <c r="H24" s="105"/>
      <c r="I24" s="42">
        <f>SUM(G24:H24)*$I$4</f>
        <v>0</v>
      </c>
      <c r="J24" s="42">
        <f>SUM(G24:I24)*$J$4</f>
        <v>0</v>
      </c>
      <c r="K24" s="42">
        <f t="shared" si="3"/>
        <v>0</v>
      </c>
      <c r="L24" s="42">
        <f t="shared" si="4"/>
        <v>0</v>
      </c>
      <c r="M24" s="29" t="s">
        <v>410</v>
      </c>
    </row>
    <row r="25" s="2" customFormat="1" ht="84" spans="1:13">
      <c r="A25" s="102" t="s">
        <v>506</v>
      </c>
      <c r="B25" s="63" t="s">
        <v>219</v>
      </c>
      <c r="C25" s="63" t="s">
        <v>499</v>
      </c>
      <c r="D25" s="63" t="s">
        <v>197</v>
      </c>
      <c r="E25" s="63" t="s">
        <v>198</v>
      </c>
      <c r="F25" s="104">
        <v>20.62</v>
      </c>
      <c r="G25" s="66"/>
      <c r="H25" s="105"/>
      <c r="I25" s="42">
        <f>SUM(G25:H25)*$I$4</f>
        <v>0</v>
      </c>
      <c r="J25" s="42">
        <f>SUM(G25:I25)*$J$4</f>
        <v>0</v>
      </c>
      <c r="K25" s="42">
        <f t="shared" si="3"/>
        <v>0</v>
      </c>
      <c r="L25" s="42">
        <f t="shared" si="4"/>
        <v>0</v>
      </c>
      <c r="M25" s="29" t="s">
        <v>414</v>
      </c>
    </row>
    <row r="26" s="2" customFormat="1" ht="24" spans="1:13">
      <c r="A26" s="102" t="s">
        <v>507</v>
      </c>
      <c r="B26" s="63" t="s">
        <v>208</v>
      </c>
      <c r="C26" s="63" t="s">
        <v>465</v>
      </c>
      <c r="D26" s="63" t="s">
        <v>210</v>
      </c>
      <c r="E26" s="63" t="s">
        <v>211</v>
      </c>
      <c r="F26" s="104">
        <v>379.38</v>
      </c>
      <c r="G26" s="66"/>
      <c r="H26" s="105"/>
      <c r="I26" s="42">
        <f>SUM(G26:H26)*$I$4</f>
        <v>0</v>
      </c>
      <c r="J26" s="42">
        <f>SUM(G26:I26)*$J$4</f>
        <v>0</v>
      </c>
      <c r="K26" s="42">
        <f t="shared" si="3"/>
        <v>0</v>
      </c>
      <c r="L26" s="42">
        <f t="shared" si="4"/>
        <v>0</v>
      </c>
      <c r="M26" s="29" t="s">
        <v>212</v>
      </c>
    </row>
    <row r="27" s="2" customFormat="1" ht="24" spans="1:13">
      <c r="A27" s="102" t="s">
        <v>508</v>
      </c>
      <c r="B27" s="63" t="s">
        <v>213</v>
      </c>
      <c r="C27" s="63" t="s">
        <v>214</v>
      </c>
      <c r="D27" s="63" t="s">
        <v>215</v>
      </c>
      <c r="E27" s="63" t="s">
        <v>211</v>
      </c>
      <c r="F27" s="104">
        <f>+F26</f>
        <v>379.38</v>
      </c>
      <c r="G27" s="66"/>
      <c r="H27" s="105"/>
      <c r="I27" s="42">
        <f>SUM(G27:H27)*$I$4</f>
        <v>0</v>
      </c>
      <c r="J27" s="42">
        <f>SUM(G27:I27)*$J$4</f>
        <v>0</v>
      </c>
      <c r="K27" s="42">
        <f t="shared" si="3"/>
        <v>0</v>
      </c>
      <c r="L27" s="42">
        <f t="shared" si="4"/>
        <v>0</v>
      </c>
      <c r="M27" s="29" t="s">
        <v>212</v>
      </c>
    </row>
    <row r="28" s="2" customFormat="1" ht="24" customHeight="1" spans="1:13">
      <c r="A28" s="220" t="s">
        <v>293</v>
      </c>
      <c r="B28" s="221" t="s">
        <v>509</v>
      </c>
      <c r="C28" s="221"/>
      <c r="D28" s="227"/>
      <c r="E28" s="227"/>
      <c r="F28" s="222"/>
      <c r="G28" s="223"/>
      <c r="H28" s="224"/>
      <c r="I28" s="224"/>
      <c r="J28" s="224"/>
      <c r="K28" s="224"/>
      <c r="L28" s="231"/>
      <c r="M28" s="224"/>
    </row>
    <row r="29" s="97" customFormat="1" ht="84" spans="1:13">
      <c r="A29" s="228" t="s">
        <v>468</v>
      </c>
      <c r="B29" s="226" t="s">
        <v>502</v>
      </c>
      <c r="C29" s="226" t="s">
        <v>503</v>
      </c>
      <c r="D29" s="226" t="s">
        <v>197</v>
      </c>
      <c r="E29" s="226" t="s">
        <v>198</v>
      </c>
      <c r="F29" s="179">
        <v>71.4</v>
      </c>
      <c r="G29" s="138"/>
      <c r="H29" s="138"/>
      <c r="I29" s="159">
        <f>SUM(G29:H29)*$I$4</f>
        <v>0</v>
      </c>
      <c r="J29" s="159">
        <f>SUM(G29:I29)*$J$4</f>
        <v>0</v>
      </c>
      <c r="K29" s="159">
        <f t="shared" ref="K29:K35" si="5">SUM(G29:J29)</f>
        <v>0</v>
      </c>
      <c r="L29" s="159">
        <f t="shared" ref="L29:L35" si="6">F29*K29</f>
        <v>0</v>
      </c>
      <c r="M29" s="138" t="s">
        <v>504</v>
      </c>
    </row>
    <row r="30" s="2" customFormat="1" ht="96" spans="1:13">
      <c r="A30" s="102" t="s">
        <v>469</v>
      </c>
      <c r="B30" s="63" t="s">
        <v>495</v>
      </c>
      <c r="C30" s="63" t="s">
        <v>496</v>
      </c>
      <c r="D30" s="76" t="s">
        <v>197</v>
      </c>
      <c r="E30" s="225" t="s">
        <v>198</v>
      </c>
      <c r="F30" s="104">
        <f>5635.42-270.46</f>
        <v>5364.96</v>
      </c>
      <c r="G30" s="66"/>
      <c r="H30" s="105"/>
      <c r="I30" s="42">
        <f>SUM(G30:H30)*$I$4</f>
        <v>0</v>
      </c>
      <c r="J30" s="42">
        <f>SUM(G30:I30)*$J$4</f>
        <v>0</v>
      </c>
      <c r="K30" s="42">
        <f t="shared" si="5"/>
        <v>0</v>
      </c>
      <c r="L30" s="42">
        <f t="shared" si="6"/>
        <v>0</v>
      </c>
      <c r="M30" s="29" t="s">
        <v>410</v>
      </c>
    </row>
    <row r="31" s="97" customFormat="1" ht="108" spans="1:13">
      <c r="A31" s="24">
        <v>3</v>
      </c>
      <c r="B31" s="63" t="s">
        <v>195</v>
      </c>
      <c r="C31" s="63" t="s">
        <v>200</v>
      </c>
      <c r="D31" s="76" t="s">
        <v>197</v>
      </c>
      <c r="E31" s="225" t="s">
        <v>198</v>
      </c>
      <c r="F31" s="64">
        <f>3.5+9.5+10.3+10.2+17.1</f>
        <v>50.6</v>
      </c>
      <c r="G31" s="29"/>
      <c r="H31" s="29"/>
      <c r="I31" s="42">
        <f>SUM(G31:H31)*$I$4</f>
        <v>0</v>
      </c>
      <c r="J31" s="42">
        <f>SUM(G31:I31)*$J$4</f>
        <v>0</v>
      </c>
      <c r="K31" s="42">
        <f t="shared" si="5"/>
        <v>0</v>
      </c>
      <c r="L31" s="42">
        <f t="shared" si="6"/>
        <v>0</v>
      </c>
      <c r="M31" s="29" t="s">
        <v>410</v>
      </c>
    </row>
    <row r="32" s="2" customFormat="1" ht="108" spans="1:13">
      <c r="A32" s="102" t="s">
        <v>505</v>
      </c>
      <c r="B32" s="63" t="s">
        <v>305</v>
      </c>
      <c r="C32" s="63" t="s">
        <v>329</v>
      </c>
      <c r="D32" s="76" t="s">
        <v>330</v>
      </c>
      <c r="E32" s="225" t="s">
        <v>198</v>
      </c>
      <c r="F32" s="106">
        <f>270.46</f>
        <v>270.46</v>
      </c>
      <c r="G32" s="66"/>
      <c r="H32" s="105"/>
      <c r="I32" s="42">
        <f>SUM(G32:H32)*$I$4</f>
        <v>0</v>
      </c>
      <c r="J32" s="42">
        <f>SUM(G32:I32)*$J$4</f>
        <v>0</v>
      </c>
      <c r="K32" s="42">
        <f t="shared" si="5"/>
        <v>0</v>
      </c>
      <c r="L32" s="42">
        <f t="shared" si="6"/>
        <v>0</v>
      </c>
      <c r="M32" s="29" t="s">
        <v>410</v>
      </c>
    </row>
    <row r="33" s="2" customFormat="1" ht="84" spans="1:13">
      <c r="A33" s="102" t="s">
        <v>506</v>
      </c>
      <c r="B33" s="63" t="s">
        <v>219</v>
      </c>
      <c r="C33" s="63" t="s">
        <v>499</v>
      </c>
      <c r="D33" s="63" t="s">
        <v>197</v>
      </c>
      <c r="E33" s="63" t="s">
        <v>198</v>
      </c>
      <c r="F33" s="104">
        <v>19.83</v>
      </c>
      <c r="G33" s="66"/>
      <c r="H33" s="105"/>
      <c r="I33" s="42">
        <f>SUM(G33:H33)*$I$4</f>
        <v>0</v>
      </c>
      <c r="J33" s="42">
        <f>SUM(G33:I33)*$J$4</f>
        <v>0</v>
      </c>
      <c r="K33" s="42">
        <f t="shared" si="5"/>
        <v>0</v>
      </c>
      <c r="L33" s="42">
        <f t="shared" si="6"/>
        <v>0</v>
      </c>
      <c r="M33" s="29" t="s">
        <v>414</v>
      </c>
    </row>
    <row r="34" s="2" customFormat="1" ht="24" spans="1:13">
      <c r="A34" s="102" t="s">
        <v>507</v>
      </c>
      <c r="B34" s="63" t="s">
        <v>208</v>
      </c>
      <c r="C34" s="63" t="s">
        <v>465</v>
      </c>
      <c r="D34" s="63" t="s">
        <v>210</v>
      </c>
      <c r="E34" s="63" t="s">
        <v>211</v>
      </c>
      <c r="F34" s="104">
        <v>379.38</v>
      </c>
      <c r="G34" s="66"/>
      <c r="H34" s="105"/>
      <c r="I34" s="42">
        <f>SUM(G34:H34)*$I$4</f>
        <v>0</v>
      </c>
      <c r="J34" s="42">
        <f>SUM(G34:I34)*$J$4</f>
        <v>0</v>
      </c>
      <c r="K34" s="42">
        <f t="shared" si="5"/>
        <v>0</v>
      </c>
      <c r="L34" s="42">
        <f t="shared" si="6"/>
        <v>0</v>
      </c>
      <c r="M34" s="29" t="s">
        <v>212</v>
      </c>
    </row>
    <row r="35" s="2" customFormat="1" ht="24" spans="1:13">
      <c r="A35" s="102" t="s">
        <v>508</v>
      </c>
      <c r="B35" s="63" t="s">
        <v>213</v>
      </c>
      <c r="C35" s="63" t="s">
        <v>214</v>
      </c>
      <c r="D35" s="63" t="s">
        <v>215</v>
      </c>
      <c r="E35" s="63" t="s">
        <v>211</v>
      </c>
      <c r="F35" s="104">
        <f>+F34</f>
        <v>379.38</v>
      </c>
      <c r="G35" s="66"/>
      <c r="H35" s="105"/>
      <c r="I35" s="42">
        <f>SUM(G35:H35)*$I$4</f>
        <v>0</v>
      </c>
      <c r="J35" s="42">
        <f>SUM(G35:I35)*$J$4</f>
        <v>0</v>
      </c>
      <c r="K35" s="42">
        <f t="shared" si="5"/>
        <v>0</v>
      </c>
      <c r="L35" s="42">
        <f t="shared" si="6"/>
        <v>0</v>
      </c>
      <c r="M35" s="29" t="s">
        <v>212</v>
      </c>
    </row>
    <row r="36" s="2" customFormat="1" ht="24" customHeight="1" spans="1:13">
      <c r="A36" s="220" t="s">
        <v>388</v>
      </c>
      <c r="B36" s="221" t="s">
        <v>510</v>
      </c>
      <c r="C36" s="221"/>
      <c r="D36" s="227"/>
      <c r="E36" s="227"/>
      <c r="F36" s="222"/>
      <c r="G36" s="223"/>
      <c r="H36" s="224"/>
      <c r="I36" s="224"/>
      <c r="J36" s="224"/>
      <c r="K36" s="224"/>
      <c r="L36" s="231"/>
      <c r="M36" s="224"/>
    </row>
    <row r="37" s="97" customFormat="1" ht="84" spans="1:13">
      <c r="A37" s="228" t="s">
        <v>468</v>
      </c>
      <c r="B37" s="226" t="s">
        <v>502</v>
      </c>
      <c r="C37" s="226" t="s">
        <v>503</v>
      </c>
      <c r="D37" s="226" t="s">
        <v>197</v>
      </c>
      <c r="E37" s="226" t="s">
        <v>198</v>
      </c>
      <c r="F37" s="179">
        <f>71.4*2</f>
        <v>142.8</v>
      </c>
      <c r="G37" s="138"/>
      <c r="H37" s="138"/>
      <c r="I37" s="159">
        <f>SUM(G37:H37)*$I$4</f>
        <v>0</v>
      </c>
      <c r="J37" s="159">
        <f>SUM(G37:I37)*$J$4</f>
        <v>0</v>
      </c>
      <c r="K37" s="159">
        <f t="shared" ref="K37:K43" si="7">SUM(G37:J37)</f>
        <v>0</v>
      </c>
      <c r="L37" s="159">
        <f t="shared" ref="L37:L43" si="8">F37*K37</f>
        <v>0</v>
      </c>
      <c r="M37" s="138" t="s">
        <v>427</v>
      </c>
    </row>
    <row r="38" s="2" customFormat="1" ht="96" spans="1:13">
      <c r="A38" s="102" t="s">
        <v>469</v>
      </c>
      <c r="B38" s="63" t="s">
        <v>495</v>
      </c>
      <c r="C38" s="63" t="s">
        <v>496</v>
      </c>
      <c r="D38" s="76" t="s">
        <v>197</v>
      </c>
      <c r="E38" s="225" t="s">
        <v>198</v>
      </c>
      <c r="F38" s="104">
        <f>5617.77*2-540.92</f>
        <v>10694.62</v>
      </c>
      <c r="G38" s="66"/>
      <c r="H38" s="105"/>
      <c r="I38" s="42">
        <f>SUM(G38:H38)*$I$4</f>
        <v>0</v>
      </c>
      <c r="J38" s="42">
        <f>SUM(G38:I38)*$J$4</f>
        <v>0</v>
      </c>
      <c r="K38" s="42">
        <f t="shared" si="7"/>
        <v>0</v>
      </c>
      <c r="L38" s="42">
        <f t="shared" si="8"/>
        <v>0</v>
      </c>
      <c r="M38" s="29" t="s">
        <v>410</v>
      </c>
    </row>
    <row r="39" s="97" customFormat="1" ht="108" spans="1:13">
      <c r="A39" s="24">
        <v>3</v>
      </c>
      <c r="B39" s="63" t="s">
        <v>195</v>
      </c>
      <c r="C39" s="63" t="s">
        <v>200</v>
      </c>
      <c r="D39" s="76" t="s">
        <v>197</v>
      </c>
      <c r="E39" s="225" t="s">
        <v>198</v>
      </c>
      <c r="F39" s="64">
        <f>(3.5+9.5+10.3+10.2+17.1)*2</f>
        <v>101.2</v>
      </c>
      <c r="G39" s="29"/>
      <c r="H39" s="29"/>
      <c r="I39" s="42">
        <f>SUM(G39:H39)*$I$4</f>
        <v>0</v>
      </c>
      <c r="J39" s="42">
        <f>SUM(G39:I39)*$J$4</f>
        <v>0</v>
      </c>
      <c r="K39" s="42">
        <f t="shared" si="7"/>
        <v>0</v>
      </c>
      <c r="L39" s="42">
        <f t="shared" si="8"/>
        <v>0</v>
      </c>
      <c r="M39" s="29" t="s">
        <v>410</v>
      </c>
    </row>
    <row r="40" s="2" customFormat="1" ht="108" spans="1:13">
      <c r="A40" s="102" t="s">
        <v>505</v>
      </c>
      <c r="B40" s="63" t="s">
        <v>305</v>
      </c>
      <c r="C40" s="63" t="s">
        <v>329</v>
      </c>
      <c r="D40" s="76" t="s">
        <v>330</v>
      </c>
      <c r="E40" s="225" t="s">
        <v>198</v>
      </c>
      <c r="F40" s="106">
        <f>270.46*2</f>
        <v>540.92</v>
      </c>
      <c r="G40" s="66"/>
      <c r="H40" s="105"/>
      <c r="I40" s="42">
        <f>SUM(G40:H40)*$I$4</f>
        <v>0</v>
      </c>
      <c r="J40" s="42">
        <f>SUM(G40:I40)*$J$4</f>
        <v>0</v>
      </c>
      <c r="K40" s="42">
        <f t="shared" si="7"/>
        <v>0</v>
      </c>
      <c r="L40" s="42">
        <f t="shared" si="8"/>
        <v>0</v>
      </c>
      <c r="M40" s="29" t="s">
        <v>410</v>
      </c>
    </row>
    <row r="41" s="2" customFormat="1" ht="84" spans="1:13">
      <c r="A41" s="102" t="s">
        <v>506</v>
      </c>
      <c r="B41" s="63" t="s">
        <v>219</v>
      </c>
      <c r="C41" s="63" t="s">
        <v>499</v>
      </c>
      <c r="D41" s="63" t="s">
        <v>197</v>
      </c>
      <c r="E41" s="63" t="s">
        <v>198</v>
      </c>
      <c r="F41" s="104">
        <f>19.826*2</f>
        <v>39.652</v>
      </c>
      <c r="G41" s="66"/>
      <c r="H41" s="105"/>
      <c r="I41" s="42">
        <f>SUM(G41:H41)*$I$4</f>
        <v>0</v>
      </c>
      <c r="J41" s="42">
        <f>SUM(G41:I41)*$J$4</f>
        <v>0</v>
      </c>
      <c r="K41" s="42">
        <f t="shared" si="7"/>
        <v>0</v>
      </c>
      <c r="L41" s="42">
        <f t="shared" si="8"/>
        <v>0</v>
      </c>
      <c r="M41" s="29" t="s">
        <v>414</v>
      </c>
    </row>
    <row r="42" s="2" customFormat="1" ht="24" spans="1:13">
      <c r="A42" s="102" t="s">
        <v>507</v>
      </c>
      <c r="B42" s="63" t="s">
        <v>208</v>
      </c>
      <c r="C42" s="63" t="s">
        <v>465</v>
      </c>
      <c r="D42" s="63" t="s">
        <v>210</v>
      </c>
      <c r="E42" s="63" t="s">
        <v>211</v>
      </c>
      <c r="F42" s="104">
        <v>758.76</v>
      </c>
      <c r="G42" s="66"/>
      <c r="H42" s="105"/>
      <c r="I42" s="42">
        <f>SUM(G42:H42)*$I$4</f>
        <v>0</v>
      </c>
      <c r="J42" s="42">
        <f>SUM(G42:I42)*$J$4</f>
        <v>0</v>
      </c>
      <c r="K42" s="42">
        <f t="shared" si="7"/>
        <v>0</v>
      </c>
      <c r="L42" s="42">
        <f t="shared" si="8"/>
        <v>0</v>
      </c>
      <c r="M42" s="29" t="s">
        <v>212</v>
      </c>
    </row>
    <row r="43" s="2" customFormat="1" ht="24" spans="1:13">
      <c r="A43" s="102" t="s">
        <v>508</v>
      </c>
      <c r="B43" s="63" t="s">
        <v>213</v>
      </c>
      <c r="C43" s="63" t="s">
        <v>214</v>
      </c>
      <c r="D43" s="63" t="s">
        <v>215</v>
      </c>
      <c r="E43" s="63" t="s">
        <v>211</v>
      </c>
      <c r="F43" s="104">
        <f>+F42</f>
        <v>758.76</v>
      </c>
      <c r="G43" s="66"/>
      <c r="H43" s="105"/>
      <c r="I43" s="42">
        <f>SUM(G43:H43)*$I$4</f>
        <v>0</v>
      </c>
      <c r="J43" s="42">
        <f>SUM(G43:I43)*$J$4</f>
        <v>0</v>
      </c>
      <c r="K43" s="42">
        <f t="shared" si="7"/>
        <v>0</v>
      </c>
      <c r="L43" s="42">
        <f t="shared" si="8"/>
        <v>0</v>
      </c>
      <c r="M43" s="29" t="s">
        <v>212</v>
      </c>
    </row>
    <row r="44" s="2" customFormat="1" ht="24" customHeight="1" spans="1:13">
      <c r="A44" s="220" t="s">
        <v>402</v>
      </c>
      <c r="B44" s="221" t="s">
        <v>511</v>
      </c>
      <c r="C44" s="221"/>
      <c r="D44" s="227"/>
      <c r="E44" s="227"/>
      <c r="F44" s="222"/>
      <c r="G44" s="223"/>
      <c r="H44" s="224"/>
      <c r="I44" s="224"/>
      <c r="J44" s="224"/>
      <c r="K44" s="224"/>
      <c r="L44" s="231"/>
      <c r="M44" s="224"/>
    </row>
    <row r="45" s="2" customFormat="1" ht="96" spans="1:13">
      <c r="A45" s="102" t="s">
        <v>468</v>
      </c>
      <c r="B45" s="63" t="s">
        <v>495</v>
      </c>
      <c r="C45" s="63" t="s">
        <v>496</v>
      </c>
      <c r="D45" s="76" t="s">
        <v>197</v>
      </c>
      <c r="E45" s="225" t="s">
        <v>198</v>
      </c>
      <c r="F45" s="106">
        <f>3536.02-132.99</f>
        <v>3403.03</v>
      </c>
      <c r="G45" s="29"/>
      <c r="H45" s="29"/>
      <c r="I45" s="42">
        <f>SUM(G45:H45)*$I$4</f>
        <v>0</v>
      </c>
      <c r="J45" s="42">
        <f>SUM(G45:I45)*$J$4</f>
        <v>0</v>
      </c>
      <c r="K45" s="42">
        <f t="shared" ref="K45:K51" si="9">SUM(G45:J45)</f>
        <v>0</v>
      </c>
      <c r="L45" s="42">
        <f t="shared" ref="L45:L51" si="10">F45*K45</f>
        <v>0</v>
      </c>
      <c r="M45" s="29" t="s">
        <v>410</v>
      </c>
    </row>
    <row r="46" s="2" customFormat="1" ht="108" spans="1:13">
      <c r="A46" s="102" t="s">
        <v>469</v>
      </c>
      <c r="B46" s="63" t="s">
        <v>305</v>
      </c>
      <c r="C46" s="63" t="s">
        <v>329</v>
      </c>
      <c r="D46" s="76" t="s">
        <v>330</v>
      </c>
      <c r="E46" s="225" t="s">
        <v>198</v>
      </c>
      <c r="F46" s="106">
        <v>132.99</v>
      </c>
      <c r="G46" s="29"/>
      <c r="H46" s="29"/>
      <c r="I46" s="42">
        <f>SUM(G46:H46)*$I$4</f>
        <v>0</v>
      </c>
      <c r="J46" s="42">
        <f>SUM(G46:I46)*$J$4</f>
        <v>0</v>
      </c>
      <c r="K46" s="42">
        <f t="shared" si="9"/>
        <v>0</v>
      </c>
      <c r="L46" s="42">
        <f t="shared" si="10"/>
        <v>0</v>
      </c>
      <c r="M46" s="29" t="s">
        <v>410</v>
      </c>
    </row>
    <row r="47" s="97" customFormat="1" ht="108" spans="1:13">
      <c r="A47" s="24">
        <v>3</v>
      </c>
      <c r="B47" s="63" t="s">
        <v>195</v>
      </c>
      <c r="C47" s="63" t="s">
        <v>200</v>
      </c>
      <c r="D47" s="76" t="s">
        <v>197</v>
      </c>
      <c r="E47" s="225" t="s">
        <v>198</v>
      </c>
      <c r="F47" s="64">
        <f>3.6+9.52+10.23</f>
        <v>23.35</v>
      </c>
      <c r="G47" s="29"/>
      <c r="H47" s="29"/>
      <c r="I47" s="42">
        <f>SUM(G47:H47)*$I$4</f>
        <v>0</v>
      </c>
      <c r="J47" s="42">
        <f>SUM(G47:I47)*$J$4</f>
        <v>0</v>
      </c>
      <c r="K47" s="42">
        <f t="shared" si="9"/>
        <v>0</v>
      </c>
      <c r="L47" s="42">
        <f t="shared" si="10"/>
        <v>0</v>
      </c>
      <c r="M47" s="29" t="s">
        <v>410</v>
      </c>
    </row>
    <row r="48" s="2" customFormat="1" ht="84" spans="1:13">
      <c r="A48" s="24">
        <v>5</v>
      </c>
      <c r="B48" s="63" t="s">
        <v>204</v>
      </c>
      <c r="C48" s="63" t="s">
        <v>378</v>
      </c>
      <c r="D48" s="27" t="s">
        <v>206</v>
      </c>
      <c r="E48" s="66" t="s">
        <v>175</v>
      </c>
      <c r="F48" s="106">
        <f>1.8*3+2.2*2</f>
        <v>9.8</v>
      </c>
      <c r="G48" s="29"/>
      <c r="H48" s="29"/>
      <c r="I48" s="42">
        <f>SUM(G48:H48)*$I$4</f>
        <v>0</v>
      </c>
      <c r="J48" s="42">
        <f>SUM(G48:I48)*$J$4</f>
        <v>0</v>
      </c>
      <c r="K48" s="42">
        <f t="shared" si="9"/>
        <v>0</v>
      </c>
      <c r="L48" s="42">
        <f t="shared" si="10"/>
        <v>0</v>
      </c>
      <c r="M48" s="29" t="s">
        <v>415</v>
      </c>
    </row>
    <row r="49" s="2" customFormat="1" ht="84" spans="1:13">
      <c r="A49" s="24">
        <v>6</v>
      </c>
      <c r="B49" s="63" t="s">
        <v>219</v>
      </c>
      <c r="C49" s="63" t="s">
        <v>499</v>
      </c>
      <c r="D49" s="63" t="s">
        <v>197</v>
      </c>
      <c r="E49" s="63" t="s">
        <v>198</v>
      </c>
      <c r="F49" s="104">
        <v>31.45</v>
      </c>
      <c r="G49" s="66"/>
      <c r="H49" s="105"/>
      <c r="I49" s="42">
        <f>SUM(G49:H49)*$I$4</f>
        <v>0</v>
      </c>
      <c r="J49" s="42">
        <f>SUM(G49:I49)*$J$4</f>
        <v>0</v>
      </c>
      <c r="K49" s="42">
        <f t="shared" si="9"/>
        <v>0</v>
      </c>
      <c r="L49" s="42">
        <f t="shared" si="10"/>
        <v>0</v>
      </c>
      <c r="M49" s="29" t="s">
        <v>414</v>
      </c>
    </row>
    <row r="50" s="2" customFormat="1" ht="24" spans="1:13">
      <c r="A50" s="24">
        <v>8</v>
      </c>
      <c r="B50" s="63" t="s">
        <v>208</v>
      </c>
      <c r="C50" s="63" t="s">
        <v>465</v>
      </c>
      <c r="D50" s="63" t="s">
        <v>210</v>
      </c>
      <c r="E50" s="63" t="s">
        <v>211</v>
      </c>
      <c r="F50" s="104">
        <v>133.62</v>
      </c>
      <c r="G50" s="66"/>
      <c r="H50" s="105"/>
      <c r="I50" s="42">
        <f>SUM(G50:H50)*$I$4</f>
        <v>0</v>
      </c>
      <c r="J50" s="42">
        <f>SUM(G50:I50)*$J$4</f>
        <v>0</v>
      </c>
      <c r="K50" s="42">
        <f t="shared" si="9"/>
        <v>0</v>
      </c>
      <c r="L50" s="42">
        <f t="shared" si="10"/>
        <v>0</v>
      </c>
      <c r="M50" s="29" t="s">
        <v>212</v>
      </c>
    </row>
    <row r="51" s="2" customFormat="1" ht="24" spans="1:13">
      <c r="A51" s="24">
        <v>9</v>
      </c>
      <c r="B51" s="63" t="s">
        <v>213</v>
      </c>
      <c r="C51" s="63" t="s">
        <v>214</v>
      </c>
      <c r="D51" s="63" t="s">
        <v>215</v>
      </c>
      <c r="E51" s="63" t="s">
        <v>211</v>
      </c>
      <c r="F51" s="104">
        <f>+F50</f>
        <v>133.62</v>
      </c>
      <c r="G51" s="66"/>
      <c r="H51" s="105"/>
      <c r="I51" s="42">
        <f>SUM(G51:H51)*$I$4</f>
        <v>0</v>
      </c>
      <c r="J51" s="42">
        <f>SUM(G51:I51)*$J$4</f>
        <v>0</v>
      </c>
      <c r="K51" s="42">
        <f t="shared" si="9"/>
        <v>0</v>
      </c>
      <c r="L51" s="42">
        <f t="shared" si="10"/>
        <v>0</v>
      </c>
      <c r="M51" s="29" t="s">
        <v>212</v>
      </c>
    </row>
    <row r="52" s="2" customFormat="1" ht="24" customHeight="1" spans="1:13">
      <c r="A52" s="220" t="s">
        <v>409</v>
      </c>
      <c r="B52" s="221" t="s">
        <v>512</v>
      </c>
      <c r="C52" s="221"/>
      <c r="D52" s="222"/>
      <c r="E52" s="222"/>
      <c r="F52" s="222"/>
      <c r="G52" s="223"/>
      <c r="H52" s="224"/>
      <c r="I52" s="224"/>
      <c r="J52" s="224"/>
      <c r="K52" s="224"/>
      <c r="L52" s="231"/>
      <c r="M52" s="224"/>
    </row>
    <row r="53" s="2" customFormat="1" ht="72" spans="1:13">
      <c r="A53" s="24">
        <v>1</v>
      </c>
      <c r="B53" s="70" t="s">
        <v>227</v>
      </c>
      <c r="C53" s="70" t="s">
        <v>228</v>
      </c>
      <c r="D53" s="189" t="s">
        <v>229</v>
      </c>
      <c r="E53" s="66" t="s">
        <v>198</v>
      </c>
      <c r="F53" s="106">
        <v>7643.94</v>
      </c>
      <c r="G53" s="29"/>
      <c r="H53" s="29"/>
      <c r="I53" s="42">
        <f>SUM(G53:H53)*$I$4</f>
        <v>0</v>
      </c>
      <c r="J53" s="42">
        <f>SUM(G53:I53)*$J$4</f>
        <v>0</v>
      </c>
      <c r="K53" s="42">
        <f t="shared" ref="K53:K62" si="11">SUM(G53:J53)</f>
        <v>0</v>
      </c>
      <c r="L53" s="42">
        <f t="shared" ref="L53:L62" si="12">F53*K53</f>
        <v>0</v>
      </c>
      <c r="M53" s="91" t="s">
        <v>418</v>
      </c>
    </row>
    <row r="54" s="2" customFormat="1" ht="84" spans="1:15">
      <c r="A54" s="24">
        <v>2</v>
      </c>
      <c r="B54" s="70" t="s">
        <v>231</v>
      </c>
      <c r="C54" s="70" t="s">
        <v>232</v>
      </c>
      <c r="D54" s="167" t="s">
        <v>233</v>
      </c>
      <c r="E54" s="66" t="s">
        <v>198</v>
      </c>
      <c r="F54" s="106">
        <v>7908.18</v>
      </c>
      <c r="G54" s="29"/>
      <c r="H54" s="29"/>
      <c r="I54" s="42">
        <f>SUM(G54:H54)*$I$4</f>
        <v>0</v>
      </c>
      <c r="J54" s="42">
        <f>SUM(G54:I54)*$J$4</f>
        <v>0</v>
      </c>
      <c r="K54" s="42">
        <f t="shared" si="11"/>
        <v>0</v>
      </c>
      <c r="L54" s="42">
        <f t="shared" si="12"/>
        <v>0</v>
      </c>
      <c r="M54" s="29" t="s">
        <v>419</v>
      </c>
      <c r="N54" s="70"/>
      <c r="O54" s="70"/>
    </row>
    <row r="55" s="2" customFormat="1" ht="72" spans="1:13">
      <c r="A55" s="24">
        <v>3</v>
      </c>
      <c r="B55" s="70" t="s">
        <v>313</v>
      </c>
      <c r="C55" s="70" t="s">
        <v>513</v>
      </c>
      <c r="D55" s="189" t="s">
        <v>229</v>
      </c>
      <c r="E55" s="66" t="s">
        <v>198</v>
      </c>
      <c r="F55" s="106">
        <v>23835.34</v>
      </c>
      <c r="G55" s="29"/>
      <c r="H55" s="29"/>
      <c r="I55" s="42">
        <f>SUM(G55:H55)*$I$4</f>
        <v>0</v>
      </c>
      <c r="J55" s="42">
        <f>SUM(G55:I55)*$J$4</f>
        <v>0</v>
      </c>
      <c r="K55" s="42">
        <f t="shared" si="11"/>
        <v>0</v>
      </c>
      <c r="L55" s="42">
        <f t="shared" si="12"/>
        <v>0</v>
      </c>
      <c r="M55" s="91" t="s">
        <v>438</v>
      </c>
    </row>
    <row r="56" s="2" customFormat="1" ht="132" spans="1:13">
      <c r="A56" s="24">
        <v>4</v>
      </c>
      <c r="B56" s="186" t="s">
        <v>472</v>
      </c>
      <c r="C56" s="187" t="s">
        <v>240</v>
      </c>
      <c r="D56" s="188" t="s">
        <v>233</v>
      </c>
      <c r="E56" s="127" t="s">
        <v>211</v>
      </c>
      <c r="F56" s="106">
        <v>2911.91</v>
      </c>
      <c r="G56" s="29"/>
      <c r="H56" s="29"/>
      <c r="I56" s="42">
        <f>SUM(G56:H56)*$I$4</f>
        <v>0</v>
      </c>
      <c r="J56" s="42">
        <f>SUM(G56:I56)*$J$4</f>
        <v>0</v>
      </c>
      <c r="K56" s="42">
        <f t="shared" si="11"/>
        <v>0</v>
      </c>
      <c r="L56" s="42">
        <f t="shared" si="12"/>
        <v>0</v>
      </c>
      <c r="M56" s="29" t="s">
        <v>419</v>
      </c>
    </row>
    <row r="57" s="2" customFormat="1" ht="60" spans="1:13">
      <c r="A57" s="107">
        <v>5</v>
      </c>
      <c r="B57" s="190" t="s">
        <v>476</v>
      </c>
      <c r="C57" s="190" t="s">
        <v>514</v>
      </c>
      <c r="D57" s="191" t="s">
        <v>229</v>
      </c>
      <c r="E57" s="192" t="s">
        <v>198</v>
      </c>
      <c r="F57" s="173">
        <v>651.92</v>
      </c>
      <c r="G57" s="112"/>
      <c r="H57" s="112"/>
      <c r="I57" s="156">
        <f>SUM(G57:H57)*$I$4</f>
        <v>0</v>
      </c>
      <c r="J57" s="156">
        <f>SUM(G57:I57)*$J$4</f>
        <v>0</v>
      </c>
      <c r="K57" s="156">
        <f t="shared" si="11"/>
        <v>0</v>
      </c>
      <c r="L57" s="156">
        <f t="shared" si="12"/>
        <v>0</v>
      </c>
      <c r="M57" s="91" t="s">
        <v>515</v>
      </c>
    </row>
    <row r="58" s="2" customFormat="1" ht="72" spans="1:13">
      <c r="A58" s="24">
        <v>6</v>
      </c>
      <c r="B58" s="113" t="s">
        <v>237</v>
      </c>
      <c r="C58" s="114" t="s">
        <v>516</v>
      </c>
      <c r="D58" s="167" t="s">
        <v>233</v>
      </c>
      <c r="E58" s="116" t="s">
        <v>211</v>
      </c>
      <c r="F58" s="106">
        <v>651.92</v>
      </c>
      <c r="G58" s="29"/>
      <c r="H58" s="29"/>
      <c r="I58" s="42">
        <f>SUM(G58:H58)*$I$4</f>
        <v>0</v>
      </c>
      <c r="J58" s="42">
        <f>SUM(G58:I58)*$J$4</f>
        <v>0</v>
      </c>
      <c r="K58" s="42">
        <f t="shared" si="11"/>
        <v>0</v>
      </c>
      <c r="L58" s="42">
        <f t="shared" si="12"/>
        <v>0</v>
      </c>
      <c r="M58" s="29" t="s">
        <v>419</v>
      </c>
    </row>
    <row r="59" s="2" customFormat="1" ht="60" spans="1:13">
      <c r="A59" s="24">
        <v>7</v>
      </c>
      <c r="B59" s="113" t="s">
        <v>247</v>
      </c>
      <c r="C59" s="71" t="s">
        <v>248</v>
      </c>
      <c r="D59" s="196" t="s">
        <v>249</v>
      </c>
      <c r="E59" s="116" t="s">
        <v>175</v>
      </c>
      <c r="F59" s="106">
        <v>199.95</v>
      </c>
      <c r="G59" s="29"/>
      <c r="H59" s="29"/>
      <c r="I59" s="42">
        <f>SUM(G59:H59)*$I$4</f>
        <v>0</v>
      </c>
      <c r="J59" s="42">
        <f>SUM(G59:I59)*$J$4</f>
        <v>0</v>
      </c>
      <c r="K59" s="42">
        <f t="shared" si="11"/>
        <v>0</v>
      </c>
      <c r="L59" s="42">
        <f t="shared" si="12"/>
        <v>0</v>
      </c>
      <c r="M59" s="91" t="s">
        <v>421</v>
      </c>
    </row>
    <row r="60" s="2" customFormat="1" ht="60" spans="1:13">
      <c r="A60" s="24">
        <v>8</v>
      </c>
      <c r="B60" s="113" t="s">
        <v>251</v>
      </c>
      <c r="C60" s="72" t="s">
        <v>252</v>
      </c>
      <c r="D60" s="196" t="s">
        <v>249</v>
      </c>
      <c r="E60" s="116" t="s">
        <v>175</v>
      </c>
      <c r="F60" s="106">
        <f>19.9+52.3+41.9+3.05+4.22+33.8+42.5+53+18.4+22.2+85.449+17.889+27.561+43.2+51.6+69.99+3+4.74+2.54+5.68+79.529+102.534+12.76+36.76+(3.45+4.3+5.68+2.4+12.64)*4</f>
        <v>948.382</v>
      </c>
      <c r="G60" s="29"/>
      <c r="H60" s="29"/>
      <c r="I60" s="42">
        <f>SUM(G60:H60)*$I$4</f>
        <v>0</v>
      </c>
      <c r="J60" s="42">
        <f>SUM(G60:I60)*$J$4</f>
        <v>0</v>
      </c>
      <c r="K60" s="42">
        <f t="shared" si="11"/>
        <v>0</v>
      </c>
      <c r="L60" s="42">
        <f t="shared" si="12"/>
        <v>0</v>
      </c>
      <c r="M60" s="91" t="s">
        <v>421</v>
      </c>
    </row>
    <row r="61" s="2" customFormat="1" ht="72" spans="1:13">
      <c r="A61" s="102" t="s">
        <v>508</v>
      </c>
      <c r="B61" s="70" t="s">
        <v>517</v>
      </c>
      <c r="C61" s="70" t="s">
        <v>518</v>
      </c>
      <c r="D61" s="189" t="s">
        <v>229</v>
      </c>
      <c r="E61" s="66" t="s">
        <v>198</v>
      </c>
      <c r="F61" s="106">
        <v>401.8</v>
      </c>
      <c r="G61" s="29"/>
      <c r="H61" s="29"/>
      <c r="I61" s="42">
        <f>SUM(G61:H61)*$I$4</f>
        <v>0</v>
      </c>
      <c r="J61" s="42">
        <f>SUM(G61:I61)*$J$4</f>
        <v>0</v>
      </c>
      <c r="K61" s="42">
        <f t="shared" si="11"/>
        <v>0</v>
      </c>
      <c r="L61" s="42">
        <f t="shared" si="12"/>
        <v>0</v>
      </c>
      <c r="M61" s="91" t="s">
        <v>519</v>
      </c>
    </row>
    <row r="62" s="3" customFormat="1" ht="36" spans="1:13">
      <c r="A62" s="229" t="s">
        <v>520</v>
      </c>
      <c r="B62" s="143" t="s">
        <v>290</v>
      </c>
      <c r="C62" s="144" t="s">
        <v>291</v>
      </c>
      <c r="D62" s="230" t="s">
        <v>292</v>
      </c>
      <c r="E62" s="146" t="s">
        <v>138</v>
      </c>
      <c r="F62" s="123">
        <f>7*6</f>
        <v>42</v>
      </c>
      <c r="G62" s="112"/>
      <c r="H62" s="112"/>
      <c r="I62" s="156">
        <f>SUM(G62:H62)*$I$4</f>
        <v>0</v>
      </c>
      <c r="J62" s="156">
        <f>SUM(G62:I62)*$J$4</f>
        <v>0</v>
      </c>
      <c r="K62" s="156">
        <f t="shared" si="11"/>
        <v>0</v>
      </c>
      <c r="L62" s="156">
        <f t="shared" si="12"/>
        <v>0</v>
      </c>
      <c r="M62" s="112"/>
    </row>
    <row r="63" s="2" customFormat="1" ht="24" customHeight="1" spans="1:13">
      <c r="A63" s="220" t="s">
        <v>521</v>
      </c>
      <c r="B63" s="221" t="s">
        <v>522</v>
      </c>
      <c r="C63" s="221"/>
      <c r="D63" s="222"/>
      <c r="E63" s="222"/>
      <c r="F63" s="222"/>
      <c r="G63" s="223"/>
      <c r="H63" s="224"/>
      <c r="I63" s="224"/>
      <c r="J63" s="224"/>
      <c r="K63" s="224"/>
      <c r="L63" s="231"/>
      <c r="M63" s="224"/>
    </row>
    <row r="64" s="2" customFormat="1" ht="72" spans="1:13">
      <c r="A64" s="24">
        <v>1</v>
      </c>
      <c r="B64" s="70" t="s">
        <v>227</v>
      </c>
      <c r="C64" s="70" t="s">
        <v>228</v>
      </c>
      <c r="D64" s="189" t="s">
        <v>229</v>
      </c>
      <c r="E64" s="66" t="s">
        <v>198</v>
      </c>
      <c r="F64" s="106">
        <v>1374.12</v>
      </c>
      <c r="G64" s="29"/>
      <c r="H64" s="29"/>
      <c r="I64" s="42">
        <f>SUM(G64:H64)*$I$4</f>
        <v>0</v>
      </c>
      <c r="J64" s="42">
        <f>SUM(G64:I64)*$J$4</f>
        <v>0</v>
      </c>
      <c r="K64" s="42">
        <f t="shared" ref="K64:K73" si="13">SUM(G64:J64)</f>
        <v>0</v>
      </c>
      <c r="L64" s="42">
        <f t="shared" ref="L64:L73" si="14">F64*K64</f>
        <v>0</v>
      </c>
      <c r="M64" s="91" t="s">
        <v>418</v>
      </c>
    </row>
    <row r="65" s="2" customFormat="1" ht="84" spans="1:13">
      <c r="A65" s="24">
        <v>2</v>
      </c>
      <c r="B65" s="70" t="s">
        <v>231</v>
      </c>
      <c r="C65" s="70" t="s">
        <v>232</v>
      </c>
      <c r="D65" s="167" t="s">
        <v>233</v>
      </c>
      <c r="E65" s="66" t="s">
        <v>198</v>
      </c>
      <c r="F65" s="106">
        <v>1422.46</v>
      </c>
      <c r="G65" s="29"/>
      <c r="H65" s="29"/>
      <c r="I65" s="42">
        <f>SUM(G65:H65)*$I$4</f>
        <v>0</v>
      </c>
      <c r="J65" s="42">
        <f>SUM(G65:I65)*$J$4</f>
        <v>0</v>
      </c>
      <c r="K65" s="42">
        <f t="shared" si="13"/>
        <v>0</v>
      </c>
      <c r="L65" s="42">
        <f t="shared" si="14"/>
        <v>0</v>
      </c>
      <c r="M65" s="29" t="s">
        <v>419</v>
      </c>
    </row>
    <row r="66" s="2" customFormat="1" ht="72" spans="1:13">
      <c r="A66" s="24">
        <v>3</v>
      </c>
      <c r="B66" s="70" t="s">
        <v>313</v>
      </c>
      <c r="C66" s="70" t="s">
        <v>513</v>
      </c>
      <c r="D66" s="189" t="s">
        <v>229</v>
      </c>
      <c r="E66" s="66" t="s">
        <v>198</v>
      </c>
      <c r="F66" s="106">
        <v>1425.51</v>
      </c>
      <c r="G66" s="29"/>
      <c r="H66" s="29"/>
      <c r="I66" s="42">
        <f>SUM(G66:H66)*$I$4</f>
        <v>0</v>
      </c>
      <c r="J66" s="42">
        <f>SUM(G66:I66)*$J$4</f>
        <v>0</v>
      </c>
      <c r="K66" s="42">
        <f t="shared" si="13"/>
        <v>0</v>
      </c>
      <c r="L66" s="42">
        <f t="shared" si="14"/>
        <v>0</v>
      </c>
      <c r="M66" s="91" t="s">
        <v>438</v>
      </c>
    </row>
    <row r="67" s="2" customFormat="1" ht="132" spans="1:13">
      <c r="A67" s="24">
        <v>4</v>
      </c>
      <c r="B67" s="186" t="s">
        <v>472</v>
      </c>
      <c r="C67" s="187" t="s">
        <v>240</v>
      </c>
      <c r="D67" s="188" t="s">
        <v>233</v>
      </c>
      <c r="E67" s="127" t="s">
        <v>211</v>
      </c>
      <c r="F67" s="106">
        <v>148.03</v>
      </c>
      <c r="G67" s="29"/>
      <c r="H67" s="29"/>
      <c r="I67" s="42">
        <f>SUM(G67:H67)*$I$4</f>
        <v>0</v>
      </c>
      <c r="J67" s="42">
        <f>SUM(G67:I67)*$J$4</f>
        <v>0</v>
      </c>
      <c r="K67" s="42">
        <f t="shared" si="13"/>
        <v>0</v>
      </c>
      <c r="L67" s="42">
        <f t="shared" si="14"/>
        <v>0</v>
      </c>
      <c r="M67" s="29" t="s">
        <v>419</v>
      </c>
    </row>
    <row r="68" s="2" customFormat="1" ht="60" spans="1:13">
      <c r="A68" s="107">
        <v>5</v>
      </c>
      <c r="B68" s="190" t="s">
        <v>476</v>
      </c>
      <c r="C68" s="190" t="s">
        <v>523</v>
      </c>
      <c r="D68" s="191" t="s">
        <v>229</v>
      </c>
      <c r="E68" s="192" t="s">
        <v>198</v>
      </c>
      <c r="F68" s="173">
        <v>142.18</v>
      </c>
      <c r="G68" s="112"/>
      <c r="H68" s="112"/>
      <c r="I68" s="156">
        <f>SUM(G68:H68)*$I$4</f>
        <v>0</v>
      </c>
      <c r="J68" s="156">
        <f>SUM(G68:I68)*$J$4</f>
        <v>0</v>
      </c>
      <c r="K68" s="156">
        <f t="shared" si="13"/>
        <v>0</v>
      </c>
      <c r="L68" s="156">
        <f t="shared" si="14"/>
        <v>0</v>
      </c>
      <c r="M68" s="91" t="s">
        <v>524</v>
      </c>
    </row>
    <row r="69" s="2" customFormat="1" ht="72" spans="1:13">
      <c r="A69" s="24">
        <v>6</v>
      </c>
      <c r="B69" s="113" t="s">
        <v>237</v>
      </c>
      <c r="C69" s="114" t="s">
        <v>516</v>
      </c>
      <c r="D69" s="167" t="s">
        <v>233</v>
      </c>
      <c r="E69" s="116" t="s">
        <v>211</v>
      </c>
      <c r="F69" s="106">
        <v>142.18</v>
      </c>
      <c r="G69" s="29"/>
      <c r="H69" s="29"/>
      <c r="I69" s="42">
        <f>SUM(G69:H69)*$I$4</f>
        <v>0</v>
      </c>
      <c r="J69" s="42">
        <f>SUM(G69:I69)*$J$4</f>
        <v>0</v>
      </c>
      <c r="K69" s="42">
        <f t="shared" si="13"/>
        <v>0</v>
      </c>
      <c r="L69" s="42">
        <f t="shared" si="14"/>
        <v>0</v>
      </c>
      <c r="M69" s="29" t="s">
        <v>419</v>
      </c>
    </row>
    <row r="70" s="2" customFormat="1" ht="60" spans="1:13">
      <c r="A70" s="24">
        <v>7</v>
      </c>
      <c r="B70" s="113" t="s">
        <v>247</v>
      </c>
      <c r="C70" s="71" t="s">
        <v>248</v>
      </c>
      <c r="D70" s="196" t="s">
        <v>249</v>
      </c>
      <c r="E70" s="116" t="s">
        <v>175</v>
      </c>
      <c r="F70" s="106">
        <v>250.82</v>
      </c>
      <c r="G70" s="29"/>
      <c r="H70" s="29"/>
      <c r="I70" s="42">
        <f>SUM(G70:H70)*$I$4</f>
        <v>0</v>
      </c>
      <c r="J70" s="42">
        <f>SUM(G70:I70)*$J$4</f>
        <v>0</v>
      </c>
      <c r="K70" s="42">
        <f t="shared" si="13"/>
        <v>0</v>
      </c>
      <c r="L70" s="42">
        <f t="shared" si="14"/>
        <v>0</v>
      </c>
      <c r="M70" s="91" t="s">
        <v>421</v>
      </c>
    </row>
    <row r="71" s="2" customFormat="1" ht="60" spans="1:13">
      <c r="A71" s="24">
        <v>8</v>
      </c>
      <c r="B71" s="113" t="s">
        <v>251</v>
      </c>
      <c r="C71" s="72" t="s">
        <v>252</v>
      </c>
      <c r="D71" s="196" t="s">
        <v>249</v>
      </c>
      <c r="E71" s="116" t="s">
        <v>175</v>
      </c>
      <c r="F71" s="106">
        <f>31+36.6+16.24+15.605+16.175+2.94*2+3.26*4+13.723+13.883+11.723+21.22+261.383+262.897</f>
        <v>719.369</v>
      </c>
      <c r="G71" s="29"/>
      <c r="H71" s="29"/>
      <c r="I71" s="42">
        <f>SUM(G71:H71)*$I$4</f>
        <v>0</v>
      </c>
      <c r="J71" s="42">
        <f>SUM(G71:I71)*$J$4</f>
        <v>0</v>
      </c>
      <c r="K71" s="42">
        <f t="shared" si="13"/>
        <v>0</v>
      </c>
      <c r="L71" s="42">
        <f t="shared" si="14"/>
        <v>0</v>
      </c>
      <c r="M71" s="91" t="s">
        <v>421</v>
      </c>
    </row>
    <row r="72" s="97" customFormat="1" ht="72" spans="1:13">
      <c r="A72" s="132">
        <v>9</v>
      </c>
      <c r="B72" s="232" t="s">
        <v>525</v>
      </c>
      <c r="C72" s="232" t="s">
        <v>526</v>
      </c>
      <c r="D72" s="232" t="s">
        <v>197</v>
      </c>
      <c r="E72" s="233" t="s">
        <v>198</v>
      </c>
      <c r="F72" s="179">
        <v>661.05</v>
      </c>
      <c r="G72" s="138"/>
      <c r="H72" s="138"/>
      <c r="I72" s="159">
        <f>SUM(G72:H72)*$I$4</f>
        <v>0</v>
      </c>
      <c r="J72" s="159">
        <f>SUM(G72:I72)*$J$4</f>
        <v>0</v>
      </c>
      <c r="K72" s="159">
        <f t="shared" si="13"/>
        <v>0</v>
      </c>
      <c r="L72" s="159">
        <f t="shared" si="14"/>
        <v>0</v>
      </c>
      <c r="M72" s="91" t="s">
        <v>527</v>
      </c>
    </row>
    <row r="73" s="3" customFormat="1" ht="36" spans="1:13">
      <c r="A73" s="107">
        <v>11</v>
      </c>
      <c r="B73" s="143" t="s">
        <v>290</v>
      </c>
      <c r="C73" s="144" t="s">
        <v>291</v>
      </c>
      <c r="D73" s="230" t="s">
        <v>292</v>
      </c>
      <c r="E73" s="146" t="s">
        <v>138</v>
      </c>
      <c r="F73" s="123">
        <v>6</v>
      </c>
      <c r="G73" s="112"/>
      <c r="H73" s="112"/>
      <c r="I73" s="156">
        <f>SUM(G73:H73)*$I$4</f>
        <v>0</v>
      </c>
      <c r="J73" s="156">
        <f>SUM(G73:I73)*$J$4</f>
        <v>0</v>
      </c>
      <c r="K73" s="156">
        <f t="shared" si="13"/>
        <v>0</v>
      </c>
      <c r="L73" s="156">
        <f t="shared" si="14"/>
        <v>0</v>
      </c>
      <c r="M73" s="112"/>
    </row>
    <row r="74" s="2" customFormat="1" ht="24" customHeight="1" spans="1:13">
      <c r="A74" s="220" t="s">
        <v>528</v>
      </c>
      <c r="B74" s="221" t="s">
        <v>479</v>
      </c>
      <c r="C74" s="221"/>
      <c r="D74" s="222"/>
      <c r="E74" s="222"/>
      <c r="F74" s="222"/>
      <c r="G74" s="223"/>
      <c r="H74" s="224"/>
      <c r="I74" s="224"/>
      <c r="J74" s="224"/>
      <c r="K74" s="224"/>
      <c r="L74" s="231"/>
      <c r="M74" s="224"/>
    </row>
    <row r="75" s="2" customFormat="1" ht="84" spans="1:13">
      <c r="A75" s="24">
        <v>1</v>
      </c>
      <c r="B75" s="25" t="s">
        <v>256</v>
      </c>
      <c r="C75" s="118" t="s">
        <v>529</v>
      </c>
      <c r="D75" s="76" t="s">
        <v>197</v>
      </c>
      <c r="E75" s="66" t="s">
        <v>198</v>
      </c>
      <c r="F75" s="119">
        <f>4121.35+4335.89</f>
        <v>8457.24</v>
      </c>
      <c r="G75" s="29"/>
      <c r="H75" s="29"/>
      <c r="I75" s="42">
        <f>SUM(G75:H75)*$I$4</f>
        <v>0</v>
      </c>
      <c r="J75" s="42">
        <f>SUM(G75:I75)*$J$4</f>
        <v>0</v>
      </c>
      <c r="K75" s="42">
        <f t="shared" ref="K75:K80" si="15">SUM(G75:J75)</f>
        <v>0</v>
      </c>
      <c r="L75" s="42">
        <f t="shared" ref="L75:L80" si="16">F75*K75</f>
        <v>0</v>
      </c>
      <c r="M75" s="29" t="s">
        <v>419</v>
      </c>
    </row>
    <row r="76" s="97" customFormat="1" ht="74" customHeight="1" spans="1:13">
      <c r="A76" s="132">
        <v>3</v>
      </c>
      <c r="B76" s="133" t="s">
        <v>481</v>
      </c>
      <c r="C76" s="234" t="s">
        <v>530</v>
      </c>
      <c r="D76" s="235" t="s">
        <v>273</v>
      </c>
      <c r="E76" s="136" t="s">
        <v>198</v>
      </c>
      <c r="F76" s="137">
        <f>78.65*2</f>
        <v>157.3</v>
      </c>
      <c r="G76" s="138"/>
      <c r="H76" s="138"/>
      <c r="I76" s="159">
        <f>SUM(G76:H76)*$I$4</f>
        <v>0</v>
      </c>
      <c r="J76" s="159">
        <f>SUM(G76:I76)*$J$4</f>
        <v>0</v>
      </c>
      <c r="K76" s="159">
        <f t="shared" si="15"/>
        <v>0</v>
      </c>
      <c r="L76" s="159">
        <f t="shared" si="16"/>
        <v>0</v>
      </c>
      <c r="M76" s="241" t="s">
        <v>412</v>
      </c>
    </row>
    <row r="77" s="2" customFormat="1" ht="108" spans="1:13">
      <c r="A77" s="24">
        <v>4</v>
      </c>
      <c r="B77" s="25" t="s">
        <v>259</v>
      </c>
      <c r="C77" s="63" t="s">
        <v>391</v>
      </c>
      <c r="D77" s="76" t="s">
        <v>197</v>
      </c>
      <c r="E77" s="66" t="s">
        <v>198</v>
      </c>
      <c r="F77" s="119">
        <f>485.71+690.94+295.04+73.25</f>
        <v>1544.94</v>
      </c>
      <c r="G77" s="29"/>
      <c r="H77" s="29"/>
      <c r="I77" s="42">
        <f>SUM(G77:H77)*$I$4</f>
        <v>0</v>
      </c>
      <c r="J77" s="42">
        <f>SUM(G77:I77)*$J$4</f>
        <v>0</v>
      </c>
      <c r="K77" s="42">
        <f t="shared" si="15"/>
        <v>0</v>
      </c>
      <c r="L77" s="42">
        <f t="shared" si="16"/>
        <v>0</v>
      </c>
      <c r="M77" s="29" t="s">
        <v>274</v>
      </c>
    </row>
    <row r="78" s="3" customFormat="1" ht="84" spans="1:13">
      <c r="A78" s="107">
        <v>5</v>
      </c>
      <c r="B78" s="120" t="s">
        <v>262</v>
      </c>
      <c r="C78" s="236" t="s">
        <v>263</v>
      </c>
      <c r="D78" s="204" t="s">
        <v>264</v>
      </c>
      <c r="E78" s="122" t="s">
        <v>265</v>
      </c>
      <c r="F78" s="123">
        <f>30+19</f>
        <v>49</v>
      </c>
      <c r="G78" s="112"/>
      <c r="H78" s="112"/>
      <c r="I78" s="156">
        <f>SUM(G78:H78)*$I$4</f>
        <v>0</v>
      </c>
      <c r="J78" s="156">
        <f>SUM(G78:I78)*$J$4</f>
        <v>0</v>
      </c>
      <c r="K78" s="156">
        <f t="shared" si="15"/>
        <v>0</v>
      </c>
      <c r="L78" s="156">
        <f t="shared" si="16"/>
        <v>0</v>
      </c>
      <c r="M78" s="158" t="s">
        <v>426</v>
      </c>
    </row>
    <row r="79" s="3" customFormat="1" ht="28.5" spans="1:13">
      <c r="A79" s="107">
        <v>7</v>
      </c>
      <c r="B79" s="237" t="s">
        <v>267</v>
      </c>
      <c r="C79" s="230" t="s">
        <v>268</v>
      </c>
      <c r="D79" s="238" t="s">
        <v>269</v>
      </c>
      <c r="E79" s="239" t="s">
        <v>211</v>
      </c>
      <c r="F79" s="123">
        <v>14.65</v>
      </c>
      <c r="G79" s="112"/>
      <c r="H79" s="112"/>
      <c r="I79" s="156">
        <f>SUM(G79:H79)*$I$4</f>
        <v>0</v>
      </c>
      <c r="J79" s="156">
        <f>SUM(G79:I79)*$J$4</f>
        <v>0</v>
      </c>
      <c r="K79" s="156">
        <f t="shared" si="15"/>
        <v>0</v>
      </c>
      <c r="L79" s="156">
        <f t="shared" si="16"/>
        <v>0</v>
      </c>
      <c r="M79" s="158" t="s">
        <v>447</v>
      </c>
    </row>
    <row r="80" s="3" customFormat="1" ht="72" spans="1:13">
      <c r="A80" s="24">
        <v>8</v>
      </c>
      <c r="B80" s="210" t="s">
        <v>439</v>
      </c>
      <c r="C80" s="211" t="s">
        <v>531</v>
      </c>
      <c r="D80" s="212" t="s">
        <v>269</v>
      </c>
      <c r="E80" s="213" t="s">
        <v>211</v>
      </c>
      <c r="F80" s="119">
        <f>932.64+11.2</f>
        <v>943.84</v>
      </c>
      <c r="G80" s="29"/>
      <c r="H80" s="29"/>
      <c r="I80" s="42">
        <f>SUM(G80:H80)*$I$4</f>
        <v>0</v>
      </c>
      <c r="J80" s="42">
        <f>SUM(G80:I80)*$J$4</f>
        <v>0</v>
      </c>
      <c r="K80" s="42">
        <f t="shared" si="15"/>
        <v>0</v>
      </c>
      <c r="L80" s="42">
        <f t="shared" si="16"/>
        <v>0</v>
      </c>
      <c r="M80" s="29" t="s">
        <v>441</v>
      </c>
    </row>
    <row r="81" s="2" customFormat="1" ht="24" customHeight="1" spans="1:13">
      <c r="A81" s="220" t="s">
        <v>532</v>
      </c>
      <c r="B81" s="221" t="s">
        <v>533</v>
      </c>
      <c r="C81" s="221"/>
      <c r="D81" s="222"/>
      <c r="E81" s="222"/>
      <c r="F81" s="222"/>
      <c r="G81" s="223"/>
      <c r="H81" s="224"/>
      <c r="I81" s="224"/>
      <c r="J81" s="224"/>
      <c r="K81" s="224"/>
      <c r="L81" s="231"/>
      <c r="M81" s="224"/>
    </row>
    <row r="82" s="2" customFormat="1" ht="84" spans="1:13">
      <c r="A82" s="24">
        <v>1</v>
      </c>
      <c r="B82" s="25" t="s">
        <v>256</v>
      </c>
      <c r="C82" s="118" t="s">
        <v>529</v>
      </c>
      <c r="D82" s="76" t="s">
        <v>197</v>
      </c>
      <c r="E82" s="66" t="s">
        <v>198</v>
      </c>
      <c r="F82" s="119">
        <f>4268.21+4260.41+8686.36</f>
        <v>17214.98</v>
      </c>
      <c r="G82" s="29"/>
      <c r="H82" s="29"/>
      <c r="I82" s="42">
        <f>SUM(G82:H82)*$I$4</f>
        <v>0</v>
      </c>
      <c r="J82" s="42">
        <f>SUM(G82:I82)*$J$4</f>
        <v>0</v>
      </c>
      <c r="K82" s="42">
        <f>SUM(G82:J82)</f>
        <v>0</v>
      </c>
      <c r="L82" s="42">
        <f t="shared" ref="L82:L86" si="17">F82*K82</f>
        <v>0</v>
      </c>
      <c r="M82" s="29" t="s">
        <v>419</v>
      </c>
    </row>
    <row r="83" s="97" customFormat="1" ht="54" customHeight="1" spans="1:13">
      <c r="A83" s="132">
        <v>3</v>
      </c>
      <c r="B83" s="133" t="s">
        <v>481</v>
      </c>
      <c r="C83" s="234" t="s">
        <v>530</v>
      </c>
      <c r="D83" s="240" t="s">
        <v>197</v>
      </c>
      <c r="E83" s="136" t="s">
        <v>198</v>
      </c>
      <c r="F83" s="137">
        <f>65.87*4</f>
        <v>263.48</v>
      </c>
      <c r="G83" s="138"/>
      <c r="H83" s="138"/>
      <c r="I83" s="159">
        <f>SUM(G83:H83)*$I$4</f>
        <v>0</v>
      </c>
      <c r="J83" s="159">
        <f>SUM(G83:I83)*$J$4</f>
        <v>0</v>
      </c>
      <c r="K83" s="159">
        <f>SUM(G83:J83)</f>
        <v>0</v>
      </c>
      <c r="L83" s="159">
        <f t="shared" si="17"/>
        <v>0</v>
      </c>
      <c r="M83" s="241" t="s">
        <v>412</v>
      </c>
    </row>
    <row r="84" s="2" customFormat="1" ht="108" spans="1:13">
      <c r="A84" s="24">
        <v>4</v>
      </c>
      <c r="B84" s="25" t="s">
        <v>259</v>
      </c>
      <c r="C84" s="63" t="s">
        <v>391</v>
      </c>
      <c r="D84" s="76" t="s">
        <v>197</v>
      </c>
      <c r="E84" s="66" t="s">
        <v>198</v>
      </c>
      <c r="F84" s="119">
        <f>308.4+78.76+303.84+78.76+607.68+157.51</f>
        <v>1534.95</v>
      </c>
      <c r="G84" s="29"/>
      <c r="H84" s="29"/>
      <c r="I84" s="42">
        <f>SUM(G84:H84)*$I$4</f>
        <v>0</v>
      </c>
      <c r="J84" s="42">
        <f>SUM(G84:I84)*$J$4</f>
        <v>0</v>
      </c>
      <c r="K84" s="42">
        <f>SUM(G84:J84)</f>
        <v>0</v>
      </c>
      <c r="L84" s="42">
        <f t="shared" si="17"/>
        <v>0</v>
      </c>
      <c r="M84" s="29" t="s">
        <v>410</v>
      </c>
    </row>
    <row r="85" s="3" customFormat="1" ht="84" spans="1:13">
      <c r="A85" s="107">
        <v>5</v>
      </c>
      <c r="B85" s="120" t="s">
        <v>262</v>
      </c>
      <c r="C85" s="236" t="s">
        <v>263</v>
      </c>
      <c r="D85" s="204" t="s">
        <v>264</v>
      </c>
      <c r="E85" s="122" t="s">
        <v>265</v>
      </c>
      <c r="F85" s="123">
        <f>19*4</f>
        <v>76</v>
      </c>
      <c r="G85" s="112"/>
      <c r="H85" s="112"/>
      <c r="I85" s="156">
        <f>SUM(G85:H85)*$I$4</f>
        <v>0</v>
      </c>
      <c r="J85" s="156">
        <f>SUM(G85:I85)*$J$4</f>
        <v>0</v>
      </c>
      <c r="K85" s="156">
        <f>SUM(G85:J85)</f>
        <v>0</v>
      </c>
      <c r="L85" s="156">
        <f t="shared" si="17"/>
        <v>0</v>
      </c>
      <c r="M85" s="158" t="s">
        <v>426</v>
      </c>
    </row>
    <row r="86" s="3" customFormat="1" ht="37.95" customHeight="1" spans="1:13">
      <c r="A86" s="107">
        <v>7</v>
      </c>
      <c r="B86" s="237" t="s">
        <v>267</v>
      </c>
      <c r="C86" s="230" t="s">
        <v>268</v>
      </c>
      <c r="D86" s="238" t="s">
        <v>269</v>
      </c>
      <c r="E86" s="239" t="s">
        <v>211</v>
      </c>
      <c r="F86" s="123">
        <v>44.68</v>
      </c>
      <c r="G86" s="112"/>
      <c r="H86" s="112"/>
      <c r="I86" s="156">
        <f>SUM(G86:H86)*$I$4</f>
        <v>0</v>
      </c>
      <c r="J86" s="156">
        <f>SUM(G86:I86)*$J$4</f>
        <v>0</v>
      </c>
      <c r="K86" s="156">
        <f>SUM(G86:J86)</f>
        <v>0</v>
      </c>
      <c r="L86" s="156">
        <f t="shared" si="17"/>
        <v>0</v>
      </c>
      <c r="M86" s="158" t="s">
        <v>447</v>
      </c>
    </row>
    <row r="87" s="2" customFormat="1" ht="24" customHeight="1" spans="1:13">
      <c r="A87" s="220" t="s">
        <v>534</v>
      </c>
      <c r="B87" s="221" t="s">
        <v>535</v>
      </c>
      <c r="C87" s="221"/>
      <c r="D87" s="222"/>
      <c r="E87" s="222"/>
      <c r="F87" s="222"/>
      <c r="G87" s="223"/>
      <c r="H87" s="224"/>
      <c r="I87" s="224"/>
      <c r="J87" s="224"/>
      <c r="K87" s="224"/>
      <c r="L87" s="231"/>
      <c r="M87" s="224"/>
    </row>
    <row r="88" s="2" customFormat="1" ht="84" spans="1:13">
      <c r="A88" s="24">
        <v>1</v>
      </c>
      <c r="B88" s="25" t="s">
        <v>256</v>
      </c>
      <c r="C88" s="118" t="s">
        <v>529</v>
      </c>
      <c r="D88" s="76" t="s">
        <v>197</v>
      </c>
      <c r="E88" s="66" t="s">
        <v>198</v>
      </c>
      <c r="F88" s="119">
        <v>3320.5</v>
      </c>
      <c r="G88" s="29"/>
      <c r="H88" s="29"/>
      <c r="I88" s="42">
        <f>SUM(G88:H88)*$I$4</f>
        <v>0</v>
      </c>
      <c r="J88" s="42">
        <f>SUM(G88:I88)*$J$4</f>
        <v>0</v>
      </c>
      <c r="K88" s="42">
        <f t="shared" ref="K88:K93" si="18">SUM(G88:J88)</f>
        <v>0</v>
      </c>
      <c r="L88" s="42">
        <f t="shared" ref="L88:L93" si="19">F88*K88</f>
        <v>0</v>
      </c>
      <c r="M88" s="29" t="s">
        <v>419</v>
      </c>
    </row>
    <row r="89" s="97" customFormat="1" ht="72" spans="1:13">
      <c r="A89" s="132">
        <v>3</v>
      </c>
      <c r="B89" s="133" t="s">
        <v>481</v>
      </c>
      <c r="C89" s="234" t="s">
        <v>530</v>
      </c>
      <c r="D89" s="235" t="s">
        <v>273</v>
      </c>
      <c r="E89" s="136" t="s">
        <v>198</v>
      </c>
      <c r="F89" s="137">
        <v>47.32</v>
      </c>
      <c r="G89" s="138"/>
      <c r="H89" s="138"/>
      <c r="I89" s="159">
        <f>SUM(G89:H89)*$I$4</f>
        <v>0</v>
      </c>
      <c r="J89" s="159">
        <f>SUM(G89:I89)*$J$4</f>
        <v>0</v>
      </c>
      <c r="K89" s="159">
        <f t="shared" si="18"/>
        <v>0</v>
      </c>
      <c r="L89" s="159">
        <f t="shared" si="19"/>
        <v>0</v>
      </c>
      <c r="M89" s="241" t="s">
        <v>412</v>
      </c>
    </row>
    <row r="90" s="2" customFormat="1" ht="108" spans="1:13">
      <c r="A90" s="24">
        <v>4</v>
      </c>
      <c r="B90" s="25" t="s">
        <v>259</v>
      </c>
      <c r="C90" s="63" t="s">
        <v>391</v>
      </c>
      <c r="D90" s="76" t="s">
        <v>197</v>
      </c>
      <c r="E90" s="66" t="s">
        <v>198</v>
      </c>
      <c r="F90" s="119">
        <f>454.9+1417.08</f>
        <v>1871.98</v>
      </c>
      <c r="G90" s="29"/>
      <c r="H90" s="29"/>
      <c r="I90" s="42">
        <f>SUM(G90:H90)*$I$4</f>
        <v>0</v>
      </c>
      <c r="J90" s="42">
        <f>SUM(G90:I90)*$J$4</f>
        <v>0</v>
      </c>
      <c r="K90" s="42">
        <f t="shared" si="18"/>
        <v>0</v>
      </c>
      <c r="L90" s="42">
        <f t="shared" si="19"/>
        <v>0</v>
      </c>
      <c r="M90" s="29" t="s">
        <v>274</v>
      </c>
    </row>
    <row r="91" s="3" customFormat="1" ht="84" spans="1:13">
      <c r="A91" s="107">
        <v>5</v>
      </c>
      <c r="B91" s="120" t="s">
        <v>262</v>
      </c>
      <c r="C91" s="236" t="s">
        <v>263</v>
      </c>
      <c r="D91" s="204" t="s">
        <v>264</v>
      </c>
      <c r="E91" s="122" t="s">
        <v>265</v>
      </c>
      <c r="F91" s="123">
        <v>19</v>
      </c>
      <c r="G91" s="112"/>
      <c r="H91" s="112"/>
      <c r="I91" s="156">
        <f>SUM(G91:H91)*$I$4</f>
        <v>0</v>
      </c>
      <c r="J91" s="156">
        <f>SUM(G91:I91)*$J$4</f>
        <v>0</v>
      </c>
      <c r="K91" s="156">
        <f t="shared" si="18"/>
        <v>0</v>
      </c>
      <c r="L91" s="156">
        <f t="shared" si="19"/>
        <v>0</v>
      </c>
      <c r="M91" s="158" t="s">
        <v>426</v>
      </c>
    </row>
    <row r="92" s="3" customFormat="1" ht="28.5" spans="1:13">
      <c r="A92" s="107">
        <v>7</v>
      </c>
      <c r="B92" s="237" t="s">
        <v>267</v>
      </c>
      <c r="C92" s="230" t="s">
        <v>268</v>
      </c>
      <c r="D92" s="238" t="s">
        <v>269</v>
      </c>
      <c r="E92" s="239" t="s">
        <v>211</v>
      </c>
      <c r="F92" s="123">
        <v>14.78</v>
      </c>
      <c r="G92" s="112"/>
      <c r="H92" s="112"/>
      <c r="I92" s="156">
        <f>SUM(G92:H92)*$I$4</f>
        <v>0</v>
      </c>
      <c r="J92" s="156">
        <f>SUM(G92:I92)*$J$4</f>
        <v>0</v>
      </c>
      <c r="K92" s="156">
        <f t="shared" si="18"/>
        <v>0</v>
      </c>
      <c r="L92" s="156">
        <f t="shared" si="19"/>
        <v>0</v>
      </c>
      <c r="M92" s="158" t="s">
        <v>447</v>
      </c>
    </row>
    <row r="93" s="3" customFormat="1" ht="60" spans="1:13">
      <c r="A93" s="24">
        <v>8</v>
      </c>
      <c r="B93" s="210" t="s">
        <v>439</v>
      </c>
      <c r="C93" s="211" t="s">
        <v>440</v>
      </c>
      <c r="D93" s="212" t="s">
        <v>269</v>
      </c>
      <c r="E93" s="213" t="s">
        <v>211</v>
      </c>
      <c r="F93" s="119">
        <v>305.95</v>
      </c>
      <c r="G93" s="29"/>
      <c r="H93" s="29"/>
      <c r="I93" s="42">
        <f>SUM(G93:H93)*$I$4</f>
        <v>0</v>
      </c>
      <c r="J93" s="42">
        <f>SUM(G93:I93)*$J$4</f>
        <v>0</v>
      </c>
      <c r="K93" s="42">
        <f t="shared" si="18"/>
        <v>0</v>
      </c>
      <c r="L93" s="42">
        <f t="shared" si="19"/>
        <v>0</v>
      </c>
      <c r="M93" s="29" t="s">
        <v>441</v>
      </c>
    </row>
    <row r="94" ht="24" customHeight="1" spans="1:13">
      <c r="A94" s="223" t="s">
        <v>536</v>
      </c>
      <c r="B94" s="221" t="s">
        <v>294</v>
      </c>
      <c r="C94" s="221"/>
      <c r="D94" s="222"/>
      <c r="E94" s="222"/>
      <c r="F94" s="222"/>
      <c r="G94" s="223"/>
      <c r="H94" s="224"/>
      <c r="I94" s="224"/>
      <c r="J94" s="224"/>
      <c r="K94" s="224"/>
      <c r="L94" s="231"/>
      <c r="M94" s="224"/>
    </row>
    <row r="95" s="3" customFormat="1" ht="25.95" customHeight="1" spans="1:13">
      <c r="A95" s="24">
        <v>2</v>
      </c>
      <c r="B95" s="27" t="s">
        <v>295</v>
      </c>
      <c r="C95" s="27" t="s">
        <v>296</v>
      </c>
      <c r="D95" s="27" t="s">
        <v>297</v>
      </c>
      <c r="E95" s="66" t="s">
        <v>198</v>
      </c>
      <c r="F95" s="119">
        <v>39566.53</v>
      </c>
      <c r="G95" s="29"/>
      <c r="H95" s="29"/>
      <c r="I95" s="42">
        <f>SUM(G95:H95)*$I$4</f>
        <v>0</v>
      </c>
      <c r="J95" s="42">
        <f>SUM(G95:I95)*$J$4</f>
        <v>0</v>
      </c>
      <c r="K95" s="42">
        <f>SUM(G95:J95)</f>
        <v>0</v>
      </c>
      <c r="L95" s="42">
        <f t="shared" ref="L95:L97" si="20">F95*K95</f>
        <v>0</v>
      </c>
      <c r="M95" s="91" t="s">
        <v>298</v>
      </c>
    </row>
    <row r="96" s="3" customFormat="1" ht="25.95" customHeight="1" spans="1:13">
      <c r="A96" s="24">
        <v>3</v>
      </c>
      <c r="B96" s="27" t="s">
        <v>299</v>
      </c>
      <c r="C96" s="27" t="s">
        <v>300</v>
      </c>
      <c r="D96" s="27" t="s">
        <v>297</v>
      </c>
      <c r="E96" s="66" t="s">
        <v>198</v>
      </c>
      <c r="F96" s="119">
        <v>39566.53</v>
      </c>
      <c r="G96" s="29"/>
      <c r="H96" s="29"/>
      <c r="I96" s="42">
        <f>SUM(G96:H96)*$I$4</f>
        <v>0</v>
      </c>
      <c r="J96" s="42">
        <f>SUM(G96:I96)*$J$4</f>
        <v>0</v>
      </c>
      <c r="K96" s="42">
        <f>SUM(G96:J96)</f>
        <v>0</v>
      </c>
      <c r="L96" s="42">
        <f t="shared" si="20"/>
        <v>0</v>
      </c>
      <c r="M96" s="91" t="s">
        <v>301</v>
      </c>
    </row>
    <row r="97" s="3" customFormat="1" ht="25.95" customHeight="1" spans="1:13">
      <c r="A97" s="24">
        <v>4</v>
      </c>
      <c r="B97" s="27" t="s">
        <v>302</v>
      </c>
      <c r="C97" s="27" t="s">
        <v>302</v>
      </c>
      <c r="D97" s="27" t="s">
        <v>297</v>
      </c>
      <c r="E97" s="66" t="s">
        <v>198</v>
      </c>
      <c r="F97" s="119">
        <v>39566.53</v>
      </c>
      <c r="G97" s="29"/>
      <c r="H97" s="29"/>
      <c r="I97" s="42">
        <f>SUM(G97:H97)*$I$4</f>
        <v>0</v>
      </c>
      <c r="J97" s="42">
        <f>SUM(G97:I97)*$J$4</f>
        <v>0</v>
      </c>
      <c r="K97" s="42">
        <f>SUM(G97:J97)</f>
        <v>0</v>
      </c>
      <c r="L97" s="42">
        <f t="shared" si="20"/>
        <v>0</v>
      </c>
      <c r="M97" s="91" t="s">
        <v>303</v>
      </c>
    </row>
    <row r="98" ht="24.9" customHeight="1" spans="1:13">
      <c r="A98" s="24"/>
      <c r="B98" s="152" t="s">
        <v>63</v>
      </c>
      <c r="C98" s="152"/>
      <c r="D98" s="104"/>
      <c r="E98" s="104"/>
      <c r="F98" s="104"/>
      <c r="G98" s="66"/>
      <c r="H98" s="105"/>
      <c r="I98" s="105"/>
      <c r="J98" s="105"/>
      <c r="K98" s="105"/>
      <c r="L98" s="161" t="e">
        <f>SUM(L5:L97)</f>
        <v>#REF!</v>
      </c>
      <c r="M98" s="105"/>
    </row>
    <row r="99" ht="20.1" customHeight="1" spans="1:7">
      <c r="A99" s="83"/>
      <c r="B99" s="83"/>
      <c r="C99" s="83"/>
      <c r="D99" s="83"/>
      <c r="E99" s="83"/>
      <c r="F99" s="83"/>
      <c r="G99" s="83"/>
    </row>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row r="112" ht="20.1" customHeight="1"/>
    <row r="113" ht="20.1" customHeight="1"/>
    <row r="114" ht="20.1" customHeight="1"/>
    <row r="115" ht="20.1" customHeight="1"/>
    <row r="116" ht="20.1" customHeight="1"/>
    <row r="117" ht="20.1" customHeight="1"/>
    <row r="118" ht="20.1" customHeight="1"/>
  </sheetData>
  <protectedRanges>
    <protectedRange sqref="B14" name="区域2_1_1_3_2_1"/>
  </protectedRanges>
  <autoFilter ref="A4:O118">
    <extLst/>
  </autoFilter>
  <mergeCells count="26">
    <mergeCell ref="A1:M1"/>
    <mergeCell ref="G2:J2"/>
    <mergeCell ref="B5:C5"/>
    <mergeCell ref="B15:C15"/>
    <mergeCell ref="B20:C20"/>
    <mergeCell ref="B28:C28"/>
    <mergeCell ref="B36:C36"/>
    <mergeCell ref="B44:C44"/>
    <mergeCell ref="B52:C52"/>
    <mergeCell ref="B63:C63"/>
    <mergeCell ref="B74:C74"/>
    <mergeCell ref="B81:C81"/>
    <mergeCell ref="B87:C87"/>
    <mergeCell ref="B94:C94"/>
    <mergeCell ref="B98:C98"/>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156"/>
  <sheetViews>
    <sheetView view="pageBreakPreview" zoomScale="85" zoomScaleNormal="100" workbookViewId="0">
      <pane ySplit="4" topLeftCell="A5" activePane="bottomLeft" state="frozen"/>
      <selection/>
      <selection pane="bottomLeft" activeCell="K10" sqref="K10"/>
    </sheetView>
  </sheetViews>
  <sheetFormatPr defaultColWidth="9" defaultRowHeight="14"/>
  <cols>
    <col min="1" max="1" width="6.21818181818182" style="47" customWidth="1"/>
    <col min="2" max="2" width="18.7818181818182" style="47" customWidth="1"/>
    <col min="3" max="3" width="25.4454545454545"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52" t="s">
        <v>119</v>
      </c>
      <c r="B1" s="52"/>
      <c r="C1" s="52"/>
      <c r="D1" s="52"/>
      <c r="E1" s="52"/>
      <c r="F1" s="52"/>
      <c r="G1" s="52"/>
      <c r="H1" s="52"/>
      <c r="I1" s="52"/>
      <c r="J1" s="52"/>
      <c r="K1" s="52"/>
      <c r="L1" s="52"/>
      <c r="M1" s="52"/>
    </row>
    <row r="2" ht="20.1" customHeight="1" spans="1:13">
      <c r="A2" s="55" t="s">
        <v>97</v>
      </c>
      <c r="B2" s="55" t="s">
        <v>182</v>
      </c>
      <c r="C2" s="55" t="s">
        <v>183</v>
      </c>
      <c r="D2" s="55" t="s">
        <v>184</v>
      </c>
      <c r="E2" s="55" t="s">
        <v>125</v>
      </c>
      <c r="F2" s="55" t="s">
        <v>185</v>
      </c>
      <c r="G2" s="55" t="s">
        <v>186</v>
      </c>
      <c r="H2" s="57"/>
      <c r="I2" s="55"/>
      <c r="J2" s="56"/>
      <c r="K2" s="197" t="s">
        <v>187</v>
      </c>
      <c r="L2" s="56" t="s">
        <v>188</v>
      </c>
      <c r="M2" s="55" t="s">
        <v>43</v>
      </c>
    </row>
    <row r="3" ht="20.1" customHeight="1" spans="1:13">
      <c r="A3" s="55"/>
      <c r="B3" s="55"/>
      <c r="C3" s="55"/>
      <c r="D3" s="55"/>
      <c r="E3" s="55"/>
      <c r="F3" s="55"/>
      <c r="G3" s="162" t="s">
        <v>189</v>
      </c>
      <c r="H3" s="163" t="s">
        <v>190</v>
      </c>
      <c r="I3" s="56" t="s">
        <v>191</v>
      </c>
      <c r="J3" s="56" t="s">
        <v>192</v>
      </c>
      <c r="K3" s="198"/>
      <c r="L3" s="56"/>
      <c r="M3" s="55"/>
    </row>
    <row r="4" ht="20.1" customHeight="1" spans="1:13">
      <c r="A4" s="55"/>
      <c r="B4" s="55"/>
      <c r="C4" s="55"/>
      <c r="D4" s="55"/>
      <c r="E4" s="55"/>
      <c r="F4" s="55"/>
      <c r="G4" s="55"/>
      <c r="H4" s="162"/>
      <c r="I4" s="88"/>
      <c r="J4" s="88"/>
      <c r="K4" s="199"/>
      <c r="L4" s="56"/>
      <c r="M4" s="55"/>
    </row>
    <row r="5" ht="36" customHeight="1" spans="1:13">
      <c r="A5" s="61" t="s">
        <v>193</v>
      </c>
      <c r="B5" s="164" t="s">
        <v>327</v>
      </c>
      <c r="C5" s="165"/>
      <c r="D5" s="61"/>
      <c r="E5" s="61"/>
      <c r="F5" s="62" t="e">
        <f>+F6+F13+F20+F27+F34</f>
        <v>#REF!</v>
      </c>
      <c r="G5" s="62"/>
      <c r="H5" s="62"/>
      <c r="I5" s="89"/>
      <c r="J5" s="62"/>
      <c r="K5" s="61"/>
      <c r="L5" s="61"/>
      <c r="M5" s="61"/>
    </row>
    <row r="6" ht="36" customHeight="1" outlineLevel="1" spans="1:13">
      <c r="A6" s="58"/>
      <c r="B6" s="164" t="s">
        <v>455</v>
      </c>
      <c r="C6" s="165"/>
      <c r="D6" s="60"/>
      <c r="E6" s="60"/>
      <c r="F6" s="60" t="e">
        <f>+F7+F8+F9+#REF!+#REF!+#REF!+F12</f>
        <v>#REF!</v>
      </c>
      <c r="G6" s="61"/>
      <c r="H6" s="62"/>
      <c r="I6" s="62"/>
      <c r="J6" s="62"/>
      <c r="K6" s="62"/>
      <c r="L6" s="89"/>
      <c r="M6" s="62"/>
    </row>
    <row r="7" s="2" customFormat="1" ht="109.95" customHeight="1" outlineLevel="2" spans="1:13">
      <c r="A7" s="24">
        <v>1</v>
      </c>
      <c r="B7" s="69" t="s">
        <v>362</v>
      </c>
      <c r="C7" s="63" t="s">
        <v>537</v>
      </c>
      <c r="D7" s="76" t="s">
        <v>197</v>
      </c>
      <c r="E7" s="166" t="s">
        <v>198</v>
      </c>
      <c r="F7" s="106">
        <f>219.56+8436.59-217.46</f>
        <v>8438.69</v>
      </c>
      <c r="G7" s="29"/>
      <c r="H7" s="29"/>
      <c r="I7" s="42">
        <f>SUM(G7:H7)*$I$4</f>
        <v>0</v>
      </c>
      <c r="J7" s="42">
        <f>SUM(G7:I7)*$J$4</f>
        <v>0</v>
      </c>
      <c r="K7" s="42">
        <f t="shared" ref="K7:K12" si="0">SUM(G7:J7)</f>
        <v>0</v>
      </c>
      <c r="L7" s="42">
        <f t="shared" ref="L7:L12" si="1">F7*K7</f>
        <v>0</v>
      </c>
      <c r="M7" s="91" t="s">
        <v>430</v>
      </c>
    </row>
    <row r="8" s="2" customFormat="1" ht="109.05" customHeight="1" outlineLevel="2" spans="1:13">
      <c r="A8" s="24">
        <v>2</v>
      </c>
      <c r="B8" s="69" t="s">
        <v>364</v>
      </c>
      <c r="C8" s="63" t="s">
        <v>538</v>
      </c>
      <c r="D8" s="63" t="s">
        <v>197</v>
      </c>
      <c r="E8" s="63" t="s">
        <v>198</v>
      </c>
      <c r="F8" s="106">
        <f>181.98+229.71</f>
        <v>411.69</v>
      </c>
      <c r="G8" s="29"/>
      <c r="H8" s="29"/>
      <c r="I8" s="42">
        <f>SUM(G8:H8)*$I$4</f>
        <v>0</v>
      </c>
      <c r="J8" s="42">
        <f>SUM(G8:I8)*$J$4</f>
        <v>0</v>
      </c>
      <c r="K8" s="42">
        <f t="shared" si="0"/>
        <v>0</v>
      </c>
      <c r="L8" s="42">
        <f t="shared" si="1"/>
        <v>0</v>
      </c>
      <c r="M8" s="29" t="s">
        <v>539</v>
      </c>
    </row>
    <row r="9" s="2" customFormat="1" ht="118.05" customHeight="1" outlineLevel="2" spans="1:13">
      <c r="A9" s="24">
        <v>3</v>
      </c>
      <c r="B9" s="69" t="s">
        <v>366</v>
      </c>
      <c r="C9" s="63" t="s">
        <v>540</v>
      </c>
      <c r="D9" s="167" t="s">
        <v>330</v>
      </c>
      <c r="E9" s="168" t="s">
        <v>211</v>
      </c>
      <c r="F9" s="106">
        <f>139.84+36.9</f>
        <v>176.74</v>
      </c>
      <c r="G9" s="29"/>
      <c r="H9" s="29"/>
      <c r="I9" s="42">
        <f>SUM(G9:H9)*$I$4</f>
        <v>0</v>
      </c>
      <c r="J9" s="42">
        <f>SUM(G9:I9)*$J$4</f>
        <v>0</v>
      </c>
      <c r="K9" s="42">
        <f t="shared" si="0"/>
        <v>0</v>
      </c>
      <c r="L9" s="42">
        <f t="shared" si="1"/>
        <v>0</v>
      </c>
      <c r="M9" s="29" t="s">
        <v>539</v>
      </c>
    </row>
    <row r="10" s="2" customFormat="1" ht="72" customHeight="1" outlineLevel="2" spans="1:13">
      <c r="A10" s="169">
        <v>5</v>
      </c>
      <c r="B10" s="170" t="s">
        <v>541</v>
      </c>
      <c r="C10" s="171" t="s">
        <v>542</v>
      </c>
      <c r="D10" s="172" t="s">
        <v>197</v>
      </c>
      <c r="E10" s="172" t="s">
        <v>198</v>
      </c>
      <c r="F10" s="173">
        <v>195.67</v>
      </c>
      <c r="G10" s="174"/>
      <c r="H10" s="174"/>
      <c r="I10" s="194">
        <f>SUM(G10:H10)*$I$4</f>
        <v>0</v>
      </c>
      <c r="J10" s="194">
        <f>SUM(G10:I10)*$J$4</f>
        <v>0</v>
      </c>
      <c r="K10" s="194">
        <f t="shared" si="0"/>
        <v>0</v>
      </c>
      <c r="L10" s="194">
        <f t="shared" si="1"/>
        <v>0</v>
      </c>
      <c r="M10" s="200" t="s">
        <v>543</v>
      </c>
    </row>
    <row r="11" s="97" customFormat="1" ht="52.5" customHeight="1" outlineLevel="2" spans="1:13">
      <c r="A11" s="175">
        <v>6</v>
      </c>
      <c r="B11" s="176" t="s">
        <v>544</v>
      </c>
      <c r="C11" s="177" t="s">
        <v>545</v>
      </c>
      <c r="D11" s="178" t="s">
        <v>197</v>
      </c>
      <c r="E11" s="178" t="s">
        <v>198</v>
      </c>
      <c r="F11" s="179">
        <f>703.73-3.06-195.67</f>
        <v>505</v>
      </c>
      <c r="G11" s="180"/>
      <c r="H11" s="180"/>
      <c r="I11" s="201">
        <f>SUM(G11:H11)*$I$4</f>
        <v>0</v>
      </c>
      <c r="J11" s="201">
        <f>SUM(G11:I11)*$J$4</f>
        <v>0</v>
      </c>
      <c r="K11" s="201">
        <f t="shared" si="0"/>
        <v>0</v>
      </c>
      <c r="L11" s="201">
        <f t="shared" si="1"/>
        <v>0</v>
      </c>
      <c r="M11" s="112" t="s">
        <v>546</v>
      </c>
    </row>
    <row r="12" s="2" customFormat="1" ht="99" customHeight="1" outlineLevel="2" spans="1:13">
      <c r="A12" s="24">
        <v>8</v>
      </c>
      <c r="B12" s="69" t="s">
        <v>219</v>
      </c>
      <c r="C12" s="63" t="s">
        <v>547</v>
      </c>
      <c r="D12" s="63" t="s">
        <v>197</v>
      </c>
      <c r="E12" s="63" t="s">
        <v>198</v>
      </c>
      <c r="F12" s="106">
        <f>23.87+1.73</f>
        <v>25.6</v>
      </c>
      <c r="G12" s="29"/>
      <c r="H12" s="29"/>
      <c r="I12" s="42">
        <f>SUM(G12:H12)*$I$4</f>
        <v>0</v>
      </c>
      <c r="J12" s="42">
        <f>SUM(G12:I12)*$J$4</f>
        <v>0</v>
      </c>
      <c r="K12" s="42">
        <f t="shared" si="0"/>
        <v>0</v>
      </c>
      <c r="L12" s="42">
        <f t="shared" si="1"/>
        <v>0</v>
      </c>
      <c r="M12" s="200" t="s">
        <v>548</v>
      </c>
    </row>
    <row r="13" s="2" customFormat="1" ht="40.95" customHeight="1" outlineLevel="1" spans="1:13">
      <c r="A13" s="58"/>
      <c r="B13" s="164" t="s">
        <v>466</v>
      </c>
      <c r="C13" s="165"/>
      <c r="D13" s="181"/>
      <c r="E13" s="181"/>
      <c r="F13" s="60" t="e">
        <f>+F14+F15+F16+F18+#REF!+F19</f>
        <v>#REF!</v>
      </c>
      <c r="G13" s="61"/>
      <c r="H13" s="62"/>
      <c r="I13" s="62"/>
      <c r="J13" s="62"/>
      <c r="K13" s="62"/>
      <c r="L13" s="89"/>
      <c r="M13" s="62"/>
    </row>
    <row r="14" s="2" customFormat="1" ht="111" customHeight="1" outlineLevel="2" spans="1:13">
      <c r="A14" s="24">
        <v>1</v>
      </c>
      <c r="B14" s="69" t="s">
        <v>362</v>
      </c>
      <c r="C14" s="63" t="s">
        <v>537</v>
      </c>
      <c r="D14" s="76" t="s">
        <v>197</v>
      </c>
      <c r="E14" s="166" t="s">
        <v>198</v>
      </c>
      <c r="F14" s="106">
        <f>5608.02-1046.89</f>
        <v>4561.13</v>
      </c>
      <c r="G14" s="29"/>
      <c r="H14" s="29"/>
      <c r="I14" s="42">
        <f>SUM(G14:H14)*$I$4</f>
        <v>0</v>
      </c>
      <c r="J14" s="42">
        <f>SUM(G14:I14)*$J$4</f>
        <v>0</v>
      </c>
      <c r="K14" s="42">
        <f t="shared" ref="K14:K19" si="2">SUM(G14:J14)</f>
        <v>0</v>
      </c>
      <c r="L14" s="42">
        <f t="shared" ref="L14:L19" si="3">F14*K14</f>
        <v>0</v>
      </c>
      <c r="M14" s="29" t="s">
        <v>539</v>
      </c>
    </row>
    <row r="15" s="2" customFormat="1" ht="117" customHeight="1" outlineLevel="2" spans="1:13">
      <c r="A15" s="24">
        <v>2</v>
      </c>
      <c r="B15" s="69" t="s">
        <v>364</v>
      </c>
      <c r="C15" s="63" t="s">
        <v>538</v>
      </c>
      <c r="D15" s="63" t="s">
        <v>197</v>
      </c>
      <c r="E15" s="63" t="s">
        <v>198</v>
      </c>
      <c r="F15" s="106">
        <f>220.59+232.68</f>
        <v>453.27</v>
      </c>
      <c r="G15" s="29"/>
      <c r="H15" s="29"/>
      <c r="I15" s="42">
        <f>SUM(G15:H15)*$I$4</f>
        <v>0</v>
      </c>
      <c r="J15" s="42">
        <f>SUM(G15:I15)*$J$4</f>
        <v>0</v>
      </c>
      <c r="K15" s="42">
        <f t="shared" si="2"/>
        <v>0</v>
      </c>
      <c r="L15" s="42">
        <f t="shared" si="3"/>
        <v>0</v>
      </c>
      <c r="M15" s="29" t="s">
        <v>539</v>
      </c>
    </row>
    <row r="16" s="2" customFormat="1" ht="117" customHeight="1" outlineLevel="2" spans="1:13">
      <c r="A16" s="24">
        <v>3</v>
      </c>
      <c r="B16" s="69" t="s">
        <v>366</v>
      </c>
      <c r="C16" s="63" t="s">
        <v>549</v>
      </c>
      <c r="D16" s="167" t="s">
        <v>330</v>
      </c>
      <c r="E16" s="168" t="s">
        <v>211</v>
      </c>
      <c r="F16" s="106">
        <f>359.99+75.78</f>
        <v>435.77</v>
      </c>
      <c r="G16" s="29"/>
      <c r="H16" s="29"/>
      <c r="I16" s="42">
        <f>SUM(G16:H16)*$I$4</f>
        <v>0</v>
      </c>
      <c r="J16" s="42">
        <f>SUM(G16:I16)*$J$4</f>
        <v>0</v>
      </c>
      <c r="K16" s="42">
        <f t="shared" si="2"/>
        <v>0</v>
      </c>
      <c r="L16" s="42">
        <f t="shared" si="3"/>
        <v>0</v>
      </c>
      <c r="M16" s="29" t="s">
        <v>539</v>
      </c>
    </row>
    <row r="17" s="2" customFormat="1" ht="49.95" customHeight="1" outlineLevel="2" spans="1:13">
      <c r="A17" s="24">
        <v>4</v>
      </c>
      <c r="B17" s="69" t="s">
        <v>221</v>
      </c>
      <c r="C17" s="63" t="s">
        <v>550</v>
      </c>
      <c r="D17" s="167" t="s">
        <v>551</v>
      </c>
      <c r="E17" s="168" t="s">
        <v>552</v>
      </c>
      <c r="F17" s="106">
        <v>20.71</v>
      </c>
      <c r="G17" s="29"/>
      <c r="H17" s="29"/>
      <c r="I17" s="42">
        <f>SUM(G17:H17)*$I$4</f>
        <v>0</v>
      </c>
      <c r="J17" s="42">
        <f>SUM(G17:I17)*$J$4</f>
        <v>0</v>
      </c>
      <c r="K17" s="42">
        <f t="shared" si="2"/>
        <v>0</v>
      </c>
      <c r="L17" s="42">
        <f t="shared" si="3"/>
        <v>0</v>
      </c>
      <c r="M17" s="29" t="s">
        <v>553</v>
      </c>
    </row>
    <row r="18" s="2" customFormat="1" ht="96" customHeight="1" outlineLevel="2" spans="1:13">
      <c r="A18" s="107">
        <v>5</v>
      </c>
      <c r="B18" s="182" t="s">
        <v>554</v>
      </c>
      <c r="C18" s="183" t="s">
        <v>555</v>
      </c>
      <c r="D18" s="184" t="s">
        <v>197</v>
      </c>
      <c r="E18" s="183" t="s">
        <v>198</v>
      </c>
      <c r="F18" s="111">
        <f>330.9*0.15+97.9</f>
        <v>147.535</v>
      </c>
      <c r="G18" s="112"/>
      <c r="H18" s="112"/>
      <c r="I18" s="156">
        <f>SUM(G18:H18)*$I$4</f>
        <v>0</v>
      </c>
      <c r="J18" s="156">
        <f>SUM(G18:I18)*$J$4</f>
        <v>0</v>
      </c>
      <c r="K18" s="156">
        <f t="shared" si="2"/>
        <v>0</v>
      </c>
      <c r="L18" s="156">
        <f t="shared" si="3"/>
        <v>0</v>
      </c>
      <c r="M18" s="200" t="s">
        <v>556</v>
      </c>
    </row>
    <row r="19" s="2" customFormat="1" ht="96" customHeight="1" outlineLevel="2" spans="1:13">
      <c r="A19" s="24">
        <v>6</v>
      </c>
      <c r="B19" s="69" t="s">
        <v>219</v>
      </c>
      <c r="C19" s="63" t="s">
        <v>557</v>
      </c>
      <c r="D19" s="63" t="s">
        <v>197</v>
      </c>
      <c r="E19" s="63" t="s">
        <v>198</v>
      </c>
      <c r="F19" s="106">
        <f>22.85+4.5</f>
        <v>27.35</v>
      </c>
      <c r="G19" s="29"/>
      <c r="H19" s="29"/>
      <c r="I19" s="42">
        <f>SUM(G19:H19)*$I$4</f>
        <v>0</v>
      </c>
      <c r="J19" s="42">
        <f>SUM(G19:I19)*$J$4</f>
        <v>0</v>
      </c>
      <c r="K19" s="42">
        <f t="shared" si="2"/>
        <v>0</v>
      </c>
      <c r="L19" s="42">
        <f t="shared" si="3"/>
        <v>0</v>
      </c>
      <c r="M19" s="200" t="s">
        <v>558</v>
      </c>
    </row>
    <row r="20" s="2" customFormat="1" ht="42" customHeight="1" outlineLevel="1" spans="1:13">
      <c r="A20" s="58"/>
      <c r="B20" s="164" t="s">
        <v>501</v>
      </c>
      <c r="C20" s="165"/>
      <c r="D20" s="181"/>
      <c r="E20" s="181"/>
      <c r="F20" s="60">
        <f>SUM(F21:F26)-F24</f>
        <v>5263.94</v>
      </c>
      <c r="G20" s="61"/>
      <c r="H20" s="62"/>
      <c r="I20" s="62"/>
      <c r="J20" s="62"/>
      <c r="K20" s="62"/>
      <c r="L20" s="89"/>
      <c r="M20" s="62"/>
    </row>
    <row r="21" s="2" customFormat="1" ht="111" customHeight="1" outlineLevel="2" spans="1:13">
      <c r="A21" s="24">
        <v>1</v>
      </c>
      <c r="B21" s="69" t="s">
        <v>362</v>
      </c>
      <c r="C21" s="63" t="s">
        <v>537</v>
      </c>
      <c r="D21" s="76" t="s">
        <v>197</v>
      </c>
      <c r="E21" s="166" t="s">
        <v>198</v>
      </c>
      <c r="F21" s="106">
        <f>5443.33-923.23</f>
        <v>4520.1</v>
      </c>
      <c r="G21" s="29"/>
      <c r="H21" s="29"/>
      <c r="I21" s="42">
        <f>SUM(G21:H21)*$I$4</f>
        <v>0</v>
      </c>
      <c r="J21" s="42">
        <f>SUM(G21:I21)*$J$4</f>
        <v>0</v>
      </c>
      <c r="K21" s="42">
        <f t="shared" ref="K21:K26" si="4">SUM(G21:J21)</f>
        <v>0</v>
      </c>
      <c r="L21" s="42">
        <f t="shared" ref="L21:L26" si="5">F21*K21</f>
        <v>0</v>
      </c>
      <c r="M21" s="29" t="s">
        <v>539</v>
      </c>
    </row>
    <row r="22" s="2" customFormat="1" ht="117" customHeight="1" outlineLevel="2" spans="1:13">
      <c r="A22" s="24">
        <v>2</v>
      </c>
      <c r="B22" s="69" t="s">
        <v>364</v>
      </c>
      <c r="C22" s="63" t="s">
        <v>538</v>
      </c>
      <c r="D22" s="63" t="s">
        <v>197</v>
      </c>
      <c r="E22" s="63" t="s">
        <v>198</v>
      </c>
      <c r="F22" s="106">
        <f>174.62+175.21</f>
        <v>349.83</v>
      </c>
      <c r="G22" s="29"/>
      <c r="H22" s="29"/>
      <c r="I22" s="42">
        <f>SUM(G22:H22)*$I$4</f>
        <v>0</v>
      </c>
      <c r="J22" s="42">
        <f>SUM(G22:I22)*$J$4</f>
        <v>0</v>
      </c>
      <c r="K22" s="42">
        <f t="shared" si="4"/>
        <v>0</v>
      </c>
      <c r="L22" s="42">
        <f t="shared" si="5"/>
        <v>0</v>
      </c>
      <c r="M22" s="29" t="s">
        <v>539</v>
      </c>
    </row>
    <row r="23" s="2" customFormat="1" ht="118.05" customHeight="1" outlineLevel="2" spans="1:13">
      <c r="A23" s="24">
        <v>3</v>
      </c>
      <c r="B23" s="69" t="s">
        <v>366</v>
      </c>
      <c r="C23" s="63" t="s">
        <v>559</v>
      </c>
      <c r="D23" s="167" t="s">
        <v>330</v>
      </c>
      <c r="E23" s="168" t="s">
        <v>211</v>
      </c>
      <c r="F23" s="106">
        <v>301.68</v>
      </c>
      <c r="G23" s="29"/>
      <c r="H23" s="29"/>
      <c r="I23" s="42">
        <f>SUM(G23:H23)*$I$4</f>
        <v>0</v>
      </c>
      <c r="J23" s="42">
        <f>SUM(G23:I23)*$J$4</f>
        <v>0</v>
      </c>
      <c r="K23" s="42">
        <f t="shared" si="4"/>
        <v>0</v>
      </c>
      <c r="L23" s="42">
        <f t="shared" si="5"/>
        <v>0</v>
      </c>
      <c r="M23" s="29" t="s">
        <v>539</v>
      </c>
    </row>
    <row r="24" s="2" customFormat="1" ht="52.95" customHeight="1" outlineLevel="2" spans="1:13">
      <c r="A24" s="24">
        <v>4</v>
      </c>
      <c r="B24" s="69" t="s">
        <v>221</v>
      </c>
      <c r="C24" s="63" t="s">
        <v>550</v>
      </c>
      <c r="D24" s="167" t="s">
        <v>551</v>
      </c>
      <c r="E24" s="168" t="s">
        <v>552</v>
      </c>
      <c r="F24" s="106">
        <v>75.88</v>
      </c>
      <c r="G24" s="29"/>
      <c r="H24" s="29"/>
      <c r="I24" s="42">
        <f>SUM(G24:H24)*$I$4</f>
        <v>0</v>
      </c>
      <c r="J24" s="42">
        <f>SUM(G24:I24)*$J$4</f>
        <v>0</v>
      </c>
      <c r="K24" s="42">
        <f t="shared" si="4"/>
        <v>0</v>
      </c>
      <c r="L24" s="42">
        <f t="shared" si="5"/>
        <v>0</v>
      </c>
      <c r="M24" s="29" t="s">
        <v>560</v>
      </c>
    </row>
    <row r="25" s="2" customFormat="1" ht="96" customHeight="1" outlineLevel="2" spans="1:13">
      <c r="A25" s="107">
        <v>5</v>
      </c>
      <c r="B25" s="182" t="s">
        <v>561</v>
      </c>
      <c r="C25" s="183" t="s">
        <v>562</v>
      </c>
      <c r="D25" s="184" t="s">
        <v>197</v>
      </c>
      <c r="E25" s="183" t="s">
        <v>198</v>
      </c>
      <c r="F25" s="173">
        <v>72.31</v>
      </c>
      <c r="G25" s="112"/>
      <c r="H25" s="112"/>
      <c r="I25" s="156">
        <f>SUM(G25:H25)*$I$4</f>
        <v>0</v>
      </c>
      <c r="J25" s="156">
        <f>SUM(G25:I25)*$J$4</f>
        <v>0</v>
      </c>
      <c r="K25" s="156">
        <f t="shared" si="4"/>
        <v>0</v>
      </c>
      <c r="L25" s="156">
        <f t="shared" si="5"/>
        <v>0</v>
      </c>
      <c r="M25" s="200" t="s">
        <v>556</v>
      </c>
    </row>
    <row r="26" s="2" customFormat="1" ht="96" customHeight="1" outlineLevel="2" spans="1:13">
      <c r="A26" s="24">
        <v>6</v>
      </c>
      <c r="B26" s="69" t="s">
        <v>219</v>
      </c>
      <c r="C26" s="63" t="s">
        <v>557</v>
      </c>
      <c r="D26" s="63" t="s">
        <v>197</v>
      </c>
      <c r="E26" s="63" t="s">
        <v>198</v>
      </c>
      <c r="F26" s="106">
        <f>3.97+16.05</f>
        <v>20.02</v>
      </c>
      <c r="G26" s="29"/>
      <c r="H26" s="29"/>
      <c r="I26" s="42">
        <f>SUM(G26:H26)*$I$4</f>
        <v>0</v>
      </c>
      <c r="J26" s="42">
        <f>SUM(G26:I26)*$J$4</f>
        <v>0</v>
      </c>
      <c r="K26" s="42">
        <f t="shared" si="4"/>
        <v>0</v>
      </c>
      <c r="L26" s="42">
        <f t="shared" si="5"/>
        <v>0</v>
      </c>
      <c r="M26" s="200" t="s">
        <v>563</v>
      </c>
    </row>
    <row r="27" s="2" customFormat="1" ht="33" customHeight="1" outlineLevel="1" spans="1:13">
      <c r="A27" s="58"/>
      <c r="B27" s="164" t="s">
        <v>509</v>
      </c>
      <c r="C27" s="165"/>
      <c r="D27" s="181"/>
      <c r="E27" s="181"/>
      <c r="F27" s="60" t="e">
        <f>+F28+F29+F30+F31+F32+F33+#REF!+#REF!+#REF!</f>
        <v>#REF!</v>
      </c>
      <c r="G27" s="61"/>
      <c r="H27" s="62"/>
      <c r="I27" s="62"/>
      <c r="J27" s="62"/>
      <c r="K27" s="62"/>
      <c r="L27" s="89"/>
      <c r="M27" s="62"/>
    </row>
    <row r="28" s="2" customFormat="1" ht="111" customHeight="1" outlineLevel="2" spans="1:13">
      <c r="A28" s="24">
        <v>1</v>
      </c>
      <c r="B28" s="69" t="s">
        <v>362</v>
      </c>
      <c r="C28" s="63" t="s">
        <v>537</v>
      </c>
      <c r="D28" s="76" t="s">
        <v>197</v>
      </c>
      <c r="E28" s="166" t="s">
        <v>198</v>
      </c>
      <c r="F28" s="106">
        <v>3806.79</v>
      </c>
      <c r="G28" s="29"/>
      <c r="H28" s="29"/>
      <c r="I28" s="42">
        <f>SUM(G28:H28)*$I$4</f>
        <v>0</v>
      </c>
      <c r="J28" s="42">
        <f>SUM(G28:I28)*$J$4</f>
        <v>0</v>
      </c>
      <c r="K28" s="42">
        <f t="shared" ref="K28:K33" si="6">SUM(G28:J28)</f>
        <v>0</v>
      </c>
      <c r="L28" s="42">
        <f t="shared" ref="L28:L33" si="7">F28*K28</f>
        <v>0</v>
      </c>
      <c r="M28" s="29" t="s">
        <v>539</v>
      </c>
    </row>
    <row r="29" s="2" customFormat="1" ht="117" customHeight="1" outlineLevel="2" spans="1:13">
      <c r="A29" s="24">
        <v>2</v>
      </c>
      <c r="B29" s="69" t="s">
        <v>364</v>
      </c>
      <c r="C29" s="63" t="s">
        <v>564</v>
      </c>
      <c r="D29" s="63" t="s">
        <v>197</v>
      </c>
      <c r="E29" s="63" t="s">
        <v>198</v>
      </c>
      <c r="F29" s="106">
        <f>174.72+150.22</f>
        <v>324.94</v>
      </c>
      <c r="G29" s="29"/>
      <c r="H29" s="29"/>
      <c r="I29" s="42">
        <f>SUM(G29:H29)*$I$4</f>
        <v>0</v>
      </c>
      <c r="J29" s="42">
        <f>SUM(G29:I29)*$J$4</f>
        <v>0</v>
      </c>
      <c r="K29" s="42">
        <f t="shared" si="6"/>
        <v>0</v>
      </c>
      <c r="L29" s="42">
        <f t="shared" si="7"/>
        <v>0</v>
      </c>
      <c r="M29" s="29" t="s">
        <v>539</v>
      </c>
    </row>
    <row r="30" s="2" customFormat="1" ht="117" customHeight="1" outlineLevel="2" spans="1:13">
      <c r="A30" s="24">
        <v>3</v>
      </c>
      <c r="B30" s="69" t="s">
        <v>565</v>
      </c>
      <c r="C30" s="63" t="s">
        <v>566</v>
      </c>
      <c r="D30" s="63" t="s">
        <v>197</v>
      </c>
      <c r="E30" s="63" t="s">
        <v>198</v>
      </c>
      <c r="F30" s="106">
        <v>27.08</v>
      </c>
      <c r="G30" s="29"/>
      <c r="H30" s="29"/>
      <c r="I30" s="42">
        <f>SUM(G30:H30)*$I$4</f>
        <v>0</v>
      </c>
      <c r="J30" s="42">
        <f>SUM(G30:I30)*$J$4</f>
        <v>0</v>
      </c>
      <c r="K30" s="42">
        <f t="shared" si="6"/>
        <v>0</v>
      </c>
      <c r="L30" s="42">
        <f t="shared" si="7"/>
        <v>0</v>
      </c>
      <c r="M30" s="29" t="s">
        <v>539</v>
      </c>
    </row>
    <row r="31" s="2" customFormat="1" ht="118.05" customHeight="1" outlineLevel="2" spans="1:13">
      <c r="A31" s="24">
        <v>4</v>
      </c>
      <c r="B31" s="69" t="s">
        <v>366</v>
      </c>
      <c r="C31" s="63" t="s">
        <v>567</v>
      </c>
      <c r="D31" s="167" t="s">
        <v>330</v>
      </c>
      <c r="E31" s="168" t="s">
        <v>211</v>
      </c>
      <c r="F31" s="106">
        <v>302.05</v>
      </c>
      <c r="G31" s="29"/>
      <c r="H31" s="29"/>
      <c r="I31" s="42">
        <f>SUM(G31:H31)*$I$4</f>
        <v>0</v>
      </c>
      <c r="J31" s="42">
        <f>SUM(G31:I31)*$J$4</f>
        <v>0</v>
      </c>
      <c r="K31" s="42">
        <f t="shared" si="6"/>
        <v>0</v>
      </c>
      <c r="L31" s="42">
        <f t="shared" si="7"/>
        <v>0</v>
      </c>
      <c r="M31" s="29" t="s">
        <v>539</v>
      </c>
    </row>
    <row r="32" s="2" customFormat="1" ht="61.95" customHeight="1" outlineLevel="2" spans="1:13">
      <c r="A32" s="24">
        <v>5</v>
      </c>
      <c r="B32" s="69" t="s">
        <v>221</v>
      </c>
      <c r="C32" s="63" t="s">
        <v>550</v>
      </c>
      <c r="D32" s="167" t="s">
        <v>197</v>
      </c>
      <c r="E32" s="63" t="s">
        <v>198</v>
      </c>
      <c r="F32" s="106">
        <v>81.52</v>
      </c>
      <c r="G32" s="29"/>
      <c r="H32" s="29"/>
      <c r="I32" s="42">
        <f>SUM(G32:H32)*$I$4</f>
        <v>0</v>
      </c>
      <c r="J32" s="42">
        <f>SUM(G32:I32)*$J$4</f>
        <v>0</v>
      </c>
      <c r="K32" s="42">
        <f t="shared" si="6"/>
        <v>0</v>
      </c>
      <c r="L32" s="42">
        <f t="shared" si="7"/>
        <v>0</v>
      </c>
      <c r="M32" s="29" t="s">
        <v>560</v>
      </c>
    </row>
    <row r="33" s="2" customFormat="1" ht="96" customHeight="1" outlineLevel="2" spans="1:13">
      <c r="A33" s="24">
        <v>6</v>
      </c>
      <c r="B33" s="69" t="s">
        <v>219</v>
      </c>
      <c r="C33" s="63" t="s">
        <v>557</v>
      </c>
      <c r="D33" s="63" t="s">
        <v>197</v>
      </c>
      <c r="E33" s="63" t="s">
        <v>198</v>
      </c>
      <c r="F33" s="106">
        <f>3.85+24.01</f>
        <v>27.86</v>
      </c>
      <c r="G33" s="29"/>
      <c r="H33" s="29"/>
      <c r="I33" s="42">
        <f>SUM(G33:H33)*$I$4</f>
        <v>0</v>
      </c>
      <c r="J33" s="42">
        <f>SUM(G33:I33)*$J$4</f>
        <v>0</v>
      </c>
      <c r="K33" s="42">
        <f t="shared" si="6"/>
        <v>0</v>
      </c>
      <c r="L33" s="42">
        <f t="shared" si="7"/>
        <v>0</v>
      </c>
      <c r="M33" s="200" t="s">
        <v>563</v>
      </c>
    </row>
    <row r="34" s="2" customFormat="1" ht="42" customHeight="1" outlineLevel="1" spans="1:13">
      <c r="A34" s="58"/>
      <c r="B34" s="164" t="s">
        <v>568</v>
      </c>
      <c r="C34" s="165"/>
      <c r="D34" s="181"/>
      <c r="E34" s="181"/>
      <c r="F34" s="60" t="e">
        <f>+F35+F36+F37+F38+F40+#REF!+F41+#REF!</f>
        <v>#REF!</v>
      </c>
      <c r="G34" s="61"/>
      <c r="H34" s="62"/>
      <c r="I34" s="62"/>
      <c r="J34" s="62"/>
      <c r="K34" s="62"/>
      <c r="L34" s="89"/>
      <c r="M34" s="62"/>
    </row>
    <row r="35" s="2" customFormat="1" ht="111" customHeight="1" outlineLevel="2" spans="1:13">
      <c r="A35" s="24">
        <v>1</v>
      </c>
      <c r="B35" s="69" t="s">
        <v>362</v>
      </c>
      <c r="C35" s="63" t="s">
        <v>537</v>
      </c>
      <c r="D35" s="76" t="s">
        <v>197</v>
      </c>
      <c r="E35" s="166" t="s">
        <v>198</v>
      </c>
      <c r="F35" s="106">
        <f>4928.02-926.24</f>
        <v>4001.78</v>
      </c>
      <c r="G35" s="29"/>
      <c r="H35" s="29"/>
      <c r="I35" s="42">
        <f>SUM(G35:H35)*$I$4</f>
        <v>0</v>
      </c>
      <c r="J35" s="42">
        <f>SUM(G35:I35)*$J$4</f>
        <v>0</v>
      </c>
      <c r="K35" s="42">
        <f t="shared" ref="K35:K41" si="8">SUM(G35:J35)</f>
        <v>0</v>
      </c>
      <c r="L35" s="42">
        <f t="shared" ref="L35:L41" si="9">F35*K35</f>
        <v>0</v>
      </c>
      <c r="M35" s="29" t="s">
        <v>539</v>
      </c>
    </row>
    <row r="36" s="2" customFormat="1" ht="117" customHeight="1" outlineLevel="2" spans="1:13">
      <c r="A36" s="24">
        <v>2</v>
      </c>
      <c r="B36" s="69" t="s">
        <v>364</v>
      </c>
      <c r="C36" s="63" t="s">
        <v>538</v>
      </c>
      <c r="D36" s="63" t="s">
        <v>197</v>
      </c>
      <c r="E36" s="63" t="s">
        <v>198</v>
      </c>
      <c r="F36" s="106">
        <f>170.43+150.22</f>
        <v>320.65</v>
      </c>
      <c r="G36" s="29"/>
      <c r="H36" s="29"/>
      <c r="I36" s="42">
        <f>SUM(G36:H36)*$I$4</f>
        <v>0</v>
      </c>
      <c r="J36" s="42">
        <f>SUM(G36:I36)*$J$4</f>
        <v>0</v>
      </c>
      <c r="K36" s="42">
        <f t="shared" si="8"/>
        <v>0</v>
      </c>
      <c r="L36" s="42">
        <f t="shared" si="9"/>
        <v>0</v>
      </c>
      <c r="M36" s="29" t="s">
        <v>539</v>
      </c>
    </row>
    <row r="37" s="2" customFormat="1" ht="117" customHeight="1" outlineLevel="2" spans="1:13">
      <c r="A37" s="24">
        <v>3</v>
      </c>
      <c r="B37" s="69" t="s">
        <v>565</v>
      </c>
      <c r="C37" s="63" t="s">
        <v>566</v>
      </c>
      <c r="D37" s="63" t="s">
        <v>197</v>
      </c>
      <c r="E37" s="63" t="s">
        <v>198</v>
      </c>
      <c r="F37" s="106">
        <v>27.42</v>
      </c>
      <c r="G37" s="29"/>
      <c r="H37" s="29"/>
      <c r="I37" s="42">
        <f>SUM(G37:H37)*$I$4</f>
        <v>0</v>
      </c>
      <c r="J37" s="42">
        <f>SUM(G37:I37)*$J$4</f>
        <v>0</v>
      </c>
      <c r="K37" s="42">
        <f t="shared" si="8"/>
        <v>0</v>
      </c>
      <c r="L37" s="42">
        <f t="shared" si="9"/>
        <v>0</v>
      </c>
      <c r="M37" s="29" t="s">
        <v>539</v>
      </c>
    </row>
    <row r="38" s="2" customFormat="1" ht="114" customHeight="1" outlineLevel="2" spans="1:13">
      <c r="A38" s="24">
        <v>4</v>
      </c>
      <c r="B38" s="69" t="s">
        <v>366</v>
      </c>
      <c r="C38" s="63" t="s">
        <v>567</v>
      </c>
      <c r="D38" s="167" t="s">
        <v>330</v>
      </c>
      <c r="E38" s="168" t="s">
        <v>211</v>
      </c>
      <c r="F38" s="106">
        <v>307.05</v>
      </c>
      <c r="G38" s="29"/>
      <c r="H38" s="29"/>
      <c r="I38" s="42">
        <f>SUM(G38:H38)*$I$4</f>
        <v>0</v>
      </c>
      <c r="J38" s="42">
        <f>SUM(G38:I38)*$J$4</f>
        <v>0</v>
      </c>
      <c r="K38" s="42">
        <f t="shared" si="8"/>
        <v>0</v>
      </c>
      <c r="L38" s="42">
        <f t="shared" si="9"/>
        <v>0</v>
      </c>
      <c r="M38" s="29" t="s">
        <v>539</v>
      </c>
    </row>
    <row r="39" s="2" customFormat="1" ht="58.05" customHeight="1" outlineLevel="2" spans="1:13">
      <c r="A39" s="24">
        <v>5</v>
      </c>
      <c r="B39" s="69" t="s">
        <v>221</v>
      </c>
      <c r="C39" s="63" t="s">
        <v>550</v>
      </c>
      <c r="D39" s="167" t="s">
        <v>551</v>
      </c>
      <c r="E39" s="168" t="s">
        <v>552</v>
      </c>
      <c r="F39" s="106">
        <v>16.19</v>
      </c>
      <c r="G39" s="29"/>
      <c r="H39" s="29"/>
      <c r="I39" s="42">
        <f>SUM(G39:H39)*$I$4</f>
        <v>0</v>
      </c>
      <c r="J39" s="42">
        <f>SUM(G39:I39)*$J$4</f>
        <v>0</v>
      </c>
      <c r="K39" s="42">
        <f t="shared" si="8"/>
        <v>0</v>
      </c>
      <c r="L39" s="42">
        <f t="shared" si="9"/>
        <v>0</v>
      </c>
      <c r="M39" s="29" t="s">
        <v>560</v>
      </c>
    </row>
    <row r="40" s="2" customFormat="1" ht="96" customHeight="1" outlineLevel="2" spans="1:13">
      <c r="A40" s="107">
        <v>6</v>
      </c>
      <c r="B40" s="182" t="s">
        <v>561</v>
      </c>
      <c r="C40" s="183" t="s">
        <v>562</v>
      </c>
      <c r="D40" s="184" t="s">
        <v>197</v>
      </c>
      <c r="E40" s="183" t="s">
        <v>198</v>
      </c>
      <c r="F40" s="173">
        <f>77.21</f>
        <v>77.21</v>
      </c>
      <c r="G40" s="112"/>
      <c r="H40" s="112"/>
      <c r="I40" s="156">
        <f>SUM(G40:H40)*$I$4</f>
        <v>0</v>
      </c>
      <c r="J40" s="156">
        <f>SUM(G40:I40)*$J$4</f>
        <v>0</v>
      </c>
      <c r="K40" s="156">
        <f t="shared" si="8"/>
        <v>0</v>
      </c>
      <c r="L40" s="156">
        <f t="shared" si="9"/>
        <v>0</v>
      </c>
      <c r="M40" s="200" t="s">
        <v>563</v>
      </c>
    </row>
    <row r="41" s="2" customFormat="1" ht="96" customHeight="1" outlineLevel="2" spans="1:13">
      <c r="A41" s="24">
        <v>7</v>
      </c>
      <c r="B41" s="69" t="s">
        <v>219</v>
      </c>
      <c r="C41" s="63" t="s">
        <v>557</v>
      </c>
      <c r="D41" s="63" t="s">
        <v>197</v>
      </c>
      <c r="E41" s="63" t="s">
        <v>198</v>
      </c>
      <c r="F41" s="106">
        <f>24.3+3.85</f>
        <v>28.15</v>
      </c>
      <c r="G41" s="29"/>
      <c r="H41" s="29"/>
      <c r="I41" s="42">
        <f>SUM(G41:H41)*$I$4</f>
        <v>0</v>
      </c>
      <c r="J41" s="42">
        <f>SUM(G41:I41)*$J$4</f>
        <v>0</v>
      </c>
      <c r="K41" s="42">
        <f t="shared" si="8"/>
        <v>0</v>
      </c>
      <c r="L41" s="42">
        <f t="shared" si="9"/>
        <v>0</v>
      </c>
      <c r="M41" s="200" t="s">
        <v>563</v>
      </c>
    </row>
    <row r="42" s="2" customFormat="1" ht="36" customHeight="1" spans="1:13">
      <c r="A42" s="58" t="s">
        <v>225</v>
      </c>
      <c r="B42" s="164" t="s">
        <v>437</v>
      </c>
      <c r="C42" s="165"/>
      <c r="D42" s="61"/>
      <c r="E42" s="61"/>
      <c r="F42" s="62"/>
      <c r="G42" s="62"/>
      <c r="H42" s="62"/>
      <c r="I42" s="89"/>
      <c r="J42" s="62"/>
      <c r="K42" s="61"/>
      <c r="L42" s="61"/>
      <c r="M42" s="62"/>
    </row>
    <row r="43" s="2" customFormat="1" ht="39" customHeight="1" outlineLevel="1" spans="1:13">
      <c r="A43" s="58"/>
      <c r="B43" s="164" t="s">
        <v>569</v>
      </c>
      <c r="C43" s="165"/>
      <c r="D43" s="60"/>
      <c r="E43" s="60"/>
      <c r="F43" s="60"/>
      <c r="G43" s="61"/>
      <c r="H43" s="62"/>
      <c r="I43" s="62"/>
      <c r="J43" s="62"/>
      <c r="K43" s="62"/>
      <c r="L43" s="89"/>
      <c r="M43" s="62"/>
    </row>
    <row r="44" s="2" customFormat="1" ht="81" customHeight="1" outlineLevel="2" spans="1:13">
      <c r="A44" s="107">
        <v>1</v>
      </c>
      <c r="B44" s="185" t="s">
        <v>525</v>
      </c>
      <c r="C44" s="185" t="s">
        <v>570</v>
      </c>
      <c r="D44" s="184" t="s">
        <v>197</v>
      </c>
      <c r="E44" s="110" t="s">
        <v>198</v>
      </c>
      <c r="F44" s="173">
        <v>3215.5</v>
      </c>
      <c r="G44" s="112"/>
      <c r="H44" s="112"/>
      <c r="I44" s="156">
        <f>SUM(G44:H44)*$I$4</f>
        <v>0</v>
      </c>
      <c r="J44" s="156">
        <f>SUM(G44:I44)*$J$4</f>
        <v>0</v>
      </c>
      <c r="K44" s="156">
        <f t="shared" ref="K44:K56" si="10">SUM(G44:J44)</f>
        <v>0</v>
      </c>
      <c r="L44" s="156">
        <f t="shared" ref="L44:L56" si="11">F44*K44</f>
        <v>0</v>
      </c>
      <c r="M44" s="154" t="s">
        <v>571</v>
      </c>
    </row>
    <row r="45" s="2" customFormat="1" ht="76.95" customHeight="1" outlineLevel="2" spans="1:13">
      <c r="A45" s="24">
        <v>2</v>
      </c>
      <c r="B45" s="186" t="s">
        <v>572</v>
      </c>
      <c r="C45" s="187" t="s">
        <v>573</v>
      </c>
      <c r="D45" s="188" t="s">
        <v>233</v>
      </c>
      <c r="E45" s="127" t="s">
        <v>211</v>
      </c>
      <c r="F45" s="106">
        <v>3492.12</v>
      </c>
      <c r="G45" s="65"/>
      <c r="H45" s="65"/>
      <c r="I45" s="42">
        <f>SUM(G45:H45)*$I$4</f>
        <v>0</v>
      </c>
      <c r="J45" s="42">
        <f>SUM(G45:I45)*$J$4</f>
        <v>0</v>
      </c>
      <c r="K45" s="42">
        <f t="shared" si="10"/>
        <v>0</v>
      </c>
      <c r="L45" s="42">
        <f t="shared" si="11"/>
        <v>0</v>
      </c>
      <c r="M45" s="154" t="s">
        <v>419</v>
      </c>
    </row>
    <row r="46" s="2" customFormat="1" ht="76.95" customHeight="1" outlineLevel="2" spans="1:13">
      <c r="A46" s="24">
        <v>3</v>
      </c>
      <c r="B46" s="70" t="s">
        <v>227</v>
      </c>
      <c r="C46" s="70" t="s">
        <v>574</v>
      </c>
      <c r="D46" s="189" t="s">
        <v>229</v>
      </c>
      <c r="E46" s="28" t="s">
        <v>198</v>
      </c>
      <c r="F46" s="106">
        <v>1667.94</v>
      </c>
      <c r="G46" s="65"/>
      <c r="H46" s="65"/>
      <c r="I46" s="42">
        <f>SUM(G46:H46)*$I$4</f>
        <v>0</v>
      </c>
      <c r="J46" s="42">
        <f>SUM(G46:I46)*$J$4</f>
        <v>0</v>
      </c>
      <c r="K46" s="42">
        <f t="shared" si="10"/>
        <v>0</v>
      </c>
      <c r="L46" s="42">
        <f t="shared" si="11"/>
        <v>0</v>
      </c>
      <c r="M46" s="91" t="s">
        <v>418</v>
      </c>
    </row>
    <row r="47" s="2" customFormat="1" ht="76.95" customHeight="1" outlineLevel="2" spans="1:13">
      <c r="A47" s="24">
        <v>4</v>
      </c>
      <c r="B47" s="70" t="s">
        <v>231</v>
      </c>
      <c r="C47" s="70" t="s">
        <v>575</v>
      </c>
      <c r="D47" s="167" t="s">
        <v>233</v>
      </c>
      <c r="E47" s="28" t="s">
        <v>198</v>
      </c>
      <c r="F47" s="64">
        <f>+F46+226.27*0.2+F55*0.4+(F56-13.78)*0.28</f>
        <v>1826.1704</v>
      </c>
      <c r="G47" s="65"/>
      <c r="H47" s="65"/>
      <c r="I47" s="42">
        <f>SUM(G47:H47)*$I$4</f>
        <v>0</v>
      </c>
      <c r="J47" s="42">
        <f>SUM(G47:I47)*$J$4</f>
        <v>0</v>
      </c>
      <c r="K47" s="42">
        <f t="shared" si="10"/>
        <v>0</v>
      </c>
      <c r="L47" s="42">
        <f t="shared" si="11"/>
        <v>0</v>
      </c>
      <c r="M47" s="154" t="s">
        <v>419</v>
      </c>
    </row>
    <row r="48" s="2" customFormat="1" ht="76.95" customHeight="1" outlineLevel="2" spans="1:13">
      <c r="A48" s="24">
        <v>5</v>
      </c>
      <c r="B48" s="70" t="s">
        <v>313</v>
      </c>
      <c r="C48" s="70" t="s">
        <v>576</v>
      </c>
      <c r="D48" s="189" t="s">
        <v>229</v>
      </c>
      <c r="E48" s="28" t="s">
        <v>198</v>
      </c>
      <c r="F48" s="106">
        <v>979.09</v>
      </c>
      <c r="G48" s="65"/>
      <c r="H48" s="65"/>
      <c r="I48" s="42">
        <f>SUM(G48:H48)*$I$4</f>
        <v>0</v>
      </c>
      <c r="J48" s="42">
        <f>SUM(G48:I48)*$J$4</f>
        <v>0</v>
      </c>
      <c r="K48" s="42">
        <f t="shared" si="10"/>
        <v>0</v>
      </c>
      <c r="L48" s="42">
        <f t="shared" si="11"/>
        <v>0</v>
      </c>
      <c r="M48" s="91" t="s">
        <v>438</v>
      </c>
    </row>
    <row r="49" s="2" customFormat="1" ht="76.95" customHeight="1" outlineLevel="2" spans="1:13">
      <c r="A49" s="24">
        <v>6</v>
      </c>
      <c r="B49" s="186" t="s">
        <v>472</v>
      </c>
      <c r="C49" s="187" t="s">
        <v>577</v>
      </c>
      <c r="D49" s="188" t="s">
        <v>233</v>
      </c>
      <c r="E49" s="127" t="s">
        <v>211</v>
      </c>
      <c r="F49" s="106">
        <f>76.79+252.49+66.4</f>
        <v>395.68</v>
      </c>
      <c r="G49" s="65"/>
      <c r="H49" s="65"/>
      <c r="I49" s="42">
        <f>SUM(G49:H49)*$I$4</f>
        <v>0</v>
      </c>
      <c r="J49" s="42">
        <f>SUM(G49:I49)*$J$4</f>
        <v>0</v>
      </c>
      <c r="K49" s="42">
        <f t="shared" si="10"/>
        <v>0</v>
      </c>
      <c r="L49" s="42">
        <f t="shared" si="11"/>
        <v>0</v>
      </c>
      <c r="M49" s="154" t="s">
        <v>419</v>
      </c>
    </row>
    <row r="50" s="2" customFormat="1" ht="76.95" customHeight="1" outlineLevel="2" spans="1:13">
      <c r="A50" s="107">
        <v>7</v>
      </c>
      <c r="B50" s="190" t="s">
        <v>476</v>
      </c>
      <c r="C50" s="190" t="s">
        <v>477</v>
      </c>
      <c r="D50" s="191" t="s">
        <v>229</v>
      </c>
      <c r="E50" s="192" t="s">
        <v>198</v>
      </c>
      <c r="F50" s="173">
        <v>191.77</v>
      </c>
      <c r="G50" s="112"/>
      <c r="H50" s="112"/>
      <c r="I50" s="156">
        <f>SUM(G50:H50)*$I$4</f>
        <v>0</v>
      </c>
      <c r="J50" s="156">
        <f>SUM(G50:I50)*$J$4</f>
        <v>0</v>
      </c>
      <c r="K50" s="156">
        <f t="shared" si="10"/>
        <v>0</v>
      </c>
      <c r="L50" s="156">
        <f t="shared" si="11"/>
        <v>0</v>
      </c>
      <c r="M50" s="154" t="s">
        <v>578</v>
      </c>
    </row>
    <row r="51" s="2" customFormat="1" ht="76.95" customHeight="1" outlineLevel="2" spans="1:13">
      <c r="A51" s="24">
        <v>8</v>
      </c>
      <c r="B51" s="113" t="s">
        <v>237</v>
      </c>
      <c r="C51" s="114" t="s">
        <v>478</v>
      </c>
      <c r="D51" s="167" t="s">
        <v>233</v>
      </c>
      <c r="E51" s="116" t="s">
        <v>211</v>
      </c>
      <c r="F51" s="64">
        <f>+F50+13.78*0.28</f>
        <v>195.6284</v>
      </c>
      <c r="G51" s="65"/>
      <c r="H51" s="65"/>
      <c r="I51" s="42">
        <f>SUM(G51:H51)*$I$4</f>
        <v>0</v>
      </c>
      <c r="J51" s="42">
        <f>SUM(G51:I51)*$J$4</f>
        <v>0</v>
      </c>
      <c r="K51" s="42">
        <f t="shared" si="10"/>
        <v>0</v>
      </c>
      <c r="L51" s="42">
        <f t="shared" si="11"/>
        <v>0</v>
      </c>
      <c r="M51" s="154" t="s">
        <v>419</v>
      </c>
    </row>
    <row r="52" s="2" customFormat="1" ht="81" customHeight="1" outlineLevel="2" spans="1:13">
      <c r="A52" s="169">
        <v>9</v>
      </c>
      <c r="B52" s="193" t="s">
        <v>579</v>
      </c>
      <c r="C52" s="185" t="s">
        <v>570</v>
      </c>
      <c r="D52" s="184" t="s">
        <v>197</v>
      </c>
      <c r="E52" s="194" t="s">
        <v>198</v>
      </c>
      <c r="F52" s="173">
        <v>38.79</v>
      </c>
      <c r="G52" s="174"/>
      <c r="H52" s="174"/>
      <c r="I52" s="194">
        <f>SUM(G52:H52)*$I$4</f>
        <v>0</v>
      </c>
      <c r="J52" s="194">
        <f>SUM(G52:I52)*$J$4</f>
        <v>0</v>
      </c>
      <c r="K52" s="194">
        <f t="shared" si="10"/>
        <v>0</v>
      </c>
      <c r="L52" s="194">
        <f t="shared" si="11"/>
        <v>0</v>
      </c>
      <c r="M52" s="154" t="s">
        <v>571</v>
      </c>
    </row>
    <row r="53" s="2" customFormat="1" ht="63" customHeight="1" outlineLevel="2" spans="1:13">
      <c r="A53" s="24">
        <v>13</v>
      </c>
      <c r="B53" s="70" t="s">
        <v>580</v>
      </c>
      <c r="C53" s="70" t="s">
        <v>581</v>
      </c>
      <c r="D53" s="27" t="s">
        <v>229</v>
      </c>
      <c r="E53" s="28" t="s">
        <v>211</v>
      </c>
      <c r="F53" s="64" t="e">
        <f>+#REF!+F52</f>
        <v>#REF!</v>
      </c>
      <c r="G53" s="65"/>
      <c r="H53" s="65"/>
      <c r="I53" s="42">
        <f>SUM(G53:H53)*$I$4</f>
        <v>0</v>
      </c>
      <c r="J53" s="42">
        <f>SUM(G53:I53)*$J$4</f>
        <v>0</v>
      </c>
      <c r="K53" s="42">
        <f t="shared" si="10"/>
        <v>0</v>
      </c>
      <c r="L53" s="42" t="e">
        <f t="shared" si="11"/>
        <v>#REF!</v>
      </c>
      <c r="M53" s="91" t="s">
        <v>519</v>
      </c>
    </row>
    <row r="54" s="2" customFormat="1" ht="45" customHeight="1" outlineLevel="2" spans="1:13">
      <c r="A54" s="107">
        <v>14</v>
      </c>
      <c r="B54" s="195" t="s">
        <v>582</v>
      </c>
      <c r="C54" s="195" t="s">
        <v>583</v>
      </c>
      <c r="D54" s="125" t="s">
        <v>292</v>
      </c>
      <c r="E54" s="110" t="s">
        <v>138</v>
      </c>
      <c r="F54" s="111">
        <v>10</v>
      </c>
      <c r="G54" s="112"/>
      <c r="H54" s="112"/>
      <c r="I54" s="156">
        <f>SUM(G54:H54)*$I$4</f>
        <v>0</v>
      </c>
      <c r="J54" s="156">
        <f>SUM(G54:I54)*$J$4</f>
        <v>0</v>
      </c>
      <c r="K54" s="156">
        <f t="shared" si="10"/>
        <v>0</v>
      </c>
      <c r="L54" s="156">
        <f t="shared" si="11"/>
        <v>0</v>
      </c>
      <c r="M54" s="112"/>
    </row>
    <row r="55" s="2" customFormat="1" ht="66" customHeight="1" outlineLevel="2" spans="1:13">
      <c r="A55" s="24">
        <v>15</v>
      </c>
      <c r="B55" s="113" t="s">
        <v>247</v>
      </c>
      <c r="C55" s="71" t="s">
        <v>584</v>
      </c>
      <c r="D55" s="196" t="s">
        <v>249</v>
      </c>
      <c r="E55" s="116" t="s">
        <v>175</v>
      </c>
      <c r="F55" s="106">
        <v>229.64</v>
      </c>
      <c r="G55" s="65"/>
      <c r="H55" s="65"/>
      <c r="I55" s="42">
        <f>SUM(G55:H55)*$I$4</f>
        <v>0</v>
      </c>
      <c r="J55" s="42">
        <f>SUM(G55:I55)*$J$4</f>
        <v>0</v>
      </c>
      <c r="K55" s="42">
        <f t="shared" si="10"/>
        <v>0</v>
      </c>
      <c r="L55" s="42">
        <f t="shared" si="11"/>
        <v>0</v>
      </c>
      <c r="M55" s="91" t="s">
        <v>421</v>
      </c>
    </row>
    <row r="56" s="2" customFormat="1" ht="66" customHeight="1" outlineLevel="2" spans="1:13">
      <c r="A56" s="24">
        <v>16</v>
      </c>
      <c r="B56" s="113" t="s">
        <v>251</v>
      </c>
      <c r="C56" s="72" t="s">
        <v>585</v>
      </c>
      <c r="D56" s="196" t="s">
        <v>249</v>
      </c>
      <c r="E56" s="116" t="s">
        <v>175</v>
      </c>
      <c r="F56" s="106">
        <v>89.21</v>
      </c>
      <c r="G56" s="65"/>
      <c r="H56" s="65"/>
      <c r="I56" s="42">
        <f>SUM(G56:H56)*$I$4</f>
        <v>0</v>
      </c>
      <c r="J56" s="42">
        <f>SUM(G56:I56)*$J$4</f>
        <v>0</v>
      </c>
      <c r="K56" s="42">
        <f t="shared" si="10"/>
        <v>0</v>
      </c>
      <c r="L56" s="42">
        <f t="shared" si="11"/>
        <v>0</v>
      </c>
      <c r="M56" s="91" t="s">
        <v>421</v>
      </c>
    </row>
    <row r="57" s="2" customFormat="1" ht="39" customHeight="1" outlineLevel="1" spans="1:13">
      <c r="A57" s="58"/>
      <c r="B57" s="164" t="s">
        <v>586</v>
      </c>
      <c r="C57" s="165"/>
      <c r="D57" s="60"/>
      <c r="E57" s="60"/>
      <c r="F57" s="60"/>
      <c r="G57" s="61"/>
      <c r="H57" s="62"/>
      <c r="I57" s="62"/>
      <c r="J57" s="62"/>
      <c r="K57" s="62"/>
      <c r="L57" s="89"/>
      <c r="M57" s="62"/>
    </row>
    <row r="58" s="2" customFormat="1" ht="72" outlineLevel="2" spans="1:13">
      <c r="A58" s="107">
        <v>1</v>
      </c>
      <c r="B58" s="184" t="s">
        <v>525</v>
      </c>
      <c r="C58" s="184" t="s">
        <v>587</v>
      </c>
      <c r="D58" s="184" t="s">
        <v>197</v>
      </c>
      <c r="E58" s="110" t="s">
        <v>198</v>
      </c>
      <c r="F58" s="173">
        <v>4297.34</v>
      </c>
      <c r="G58" s="112"/>
      <c r="H58" s="112"/>
      <c r="I58" s="156">
        <f>SUM(G58:H58)*$I$4</f>
        <v>0</v>
      </c>
      <c r="J58" s="156">
        <f>SUM(G58:I58)*$J$4</f>
        <v>0</v>
      </c>
      <c r="K58" s="156">
        <f t="shared" ref="K58:K70" si="12">SUM(G58:J58)</f>
        <v>0</v>
      </c>
      <c r="L58" s="156">
        <f t="shared" ref="L58:L70" si="13">F58*K58</f>
        <v>0</v>
      </c>
      <c r="M58" s="154" t="s">
        <v>571</v>
      </c>
    </row>
    <row r="59" s="2" customFormat="1" ht="63" customHeight="1" outlineLevel="2" spans="1:13">
      <c r="A59" s="24">
        <v>2</v>
      </c>
      <c r="B59" s="186" t="s">
        <v>572</v>
      </c>
      <c r="C59" s="187" t="s">
        <v>573</v>
      </c>
      <c r="D59" s="188" t="s">
        <v>233</v>
      </c>
      <c r="E59" s="127" t="s">
        <v>211</v>
      </c>
      <c r="F59" s="106">
        <v>6499.64</v>
      </c>
      <c r="G59" s="65"/>
      <c r="H59" s="65"/>
      <c r="I59" s="42">
        <f>SUM(G59:H59)*$I$4</f>
        <v>0</v>
      </c>
      <c r="J59" s="42">
        <f>SUM(G59:I59)*$J$4</f>
        <v>0</v>
      </c>
      <c r="K59" s="42">
        <f t="shared" si="12"/>
        <v>0</v>
      </c>
      <c r="L59" s="42">
        <f t="shared" si="13"/>
        <v>0</v>
      </c>
      <c r="M59" s="154" t="s">
        <v>419</v>
      </c>
    </row>
    <row r="60" s="2" customFormat="1" ht="76.95" customHeight="1" outlineLevel="2" spans="1:13">
      <c r="A60" s="24">
        <v>3</v>
      </c>
      <c r="B60" s="70" t="s">
        <v>227</v>
      </c>
      <c r="C60" s="70" t="s">
        <v>588</v>
      </c>
      <c r="D60" s="189" t="s">
        <v>229</v>
      </c>
      <c r="E60" s="28" t="s">
        <v>198</v>
      </c>
      <c r="F60" s="106">
        <v>1221.79</v>
      </c>
      <c r="G60" s="65"/>
      <c r="H60" s="65"/>
      <c r="I60" s="42">
        <f>SUM(G60:H60)*$I$4</f>
        <v>0</v>
      </c>
      <c r="J60" s="42">
        <f>SUM(G60:I60)*$J$4</f>
        <v>0</v>
      </c>
      <c r="K60" s="42">
        <f t="shared" si="12"/>
        <v>0</v>
      </c>
      <c r="L60" s="42">
        <f t="shared" si="13"/>
        <v>0</v>
      </c>
      <c r="M60" s="91" t="s">
        <v>418</v>
      </c>
    </row>
    <row r="61" s="2" customFormat="1" ht="76.95" customHeight="1" outlineLevel="2" spans="1:13">
      <c r="A61" s="24">
        <v>4</v>
      </c>
      <c r="B61" s="70" t="s">
        <v>231</v>
      </c>
      <c r="C61" s="70" t="s">
        <v>589</v>
      </c>
      <c r="D61" s="167" t="s">
        <v>233</v>
      </c>
      <c r="E61" s="28" t="s">
        <v>198</v>
      </c>
      <c r="F61" s="64">
        <f>+F60+723.85*0.4+F69*0.4+(249.08-22.07)*0.28</f>
        <v>1707.2528</v>
      </c>
      <c r="G61" s="65"/>
      <c r="H61" s="65"/>
      <c r="I61" s="42">
        <f>SUM(G61:H61)*$I$4</f>
        <v>0</v>
      </c>
      <c r="J61" s="42">
        <f>SUM(G61:I61)*$J$4</f>
        <v>0</v>
      </c>
      <c r="K61" s="42">
        <f t="shared" si="12"/>
        <v>0</v>
      </c>
      <c r="L61" s="42">
        <f t="shared" si="13"/>
        <v>0</v>
      </c>
      <c r="M61" s="154" t="s">
        <v>419</v>
      </c>
    </row>
    <row r="62" s="2" customFormat="1" ht="76.95" customHeight="1" outlineLevel="2" spans="1:13">
      <c r="A62" s="24">
        <v>5</v>
      </c>
      <c r="B62" s="70" t="s">
        <v>313</v>
      </c>
      <c r="C62" s="70" t="s">
        <v>590</v>
      </c>
      <c r="D62" s="189" t="s">
        <v>229</v>
      </c>
      <c r="E62" s="28" t="s">
        <v>198</v>
      </c>
      <c r="F62" s="106">
        <f>1835.43</f>
        <v>1835.43</v>
      </c>
      <c r="G62" s="65"/>
      <c r="H62" s="65"/>
      <c r="I62" s="42">
        <f>SUM(G62:H62)*$I$4</f>
        <v>0</v>
      </c>
      <c r="J62" s="42">
        <f>SUM(G62:I62)*$J$4</f>
        <v>0</v>
      </c>
      <c r="K62" s="42">
        <f t="shared" si="12"/>
        <v>0</v>
      </c>
      <c r="L62" s="42">
        <f t="shared" si="13"/>
        <v>0</v>
      </c>
      <c r="M62" s="91" t="s">
        <v>438</v>
      </c>
    </row>
    <row r="63" s="2" customFormat="1" ht="57" customHeight="1" outlineLevel="2" spans="1:13">
      <c r="A63" s="24">
        <v>6</v>
      </c>
      <c r="B63" s="186" t="s">
        <v>472</v>
      </c>
      <c r="C63" s="187" t="s">
        <v>591</v>
      </c>
      <c r="D63" s="188" t="s">
        <v>233</v>
      </c>
      <c r="E63" s="127" t="s">
        <v>211</v>
      </c>
      <c r="F63" s="106">
        <f>873.9+413.99+66.4</f>
        <v>1354.29</v>
      </c>
      <c r="G63" s="65"/>
      <c r="H63" s="65"/>
      <c r="I63" s="42">
        <f>SUM(G63:H63)*$I$4</f>
        <v>0</v>
      </c>
      <c r="J63" s="42">
        <f>SUM(G63:I63)*$J$4</f>
        <v>0</v>
      </c>
      <c r="K63" s="42">
        <f t="shared" si="12"/>
        <v>0</v>
      </c>
      <c r="L63" s="42">
        <f t="shared" si="13"/>
        <v>0</v>
      </c>
      <c r="M63" s="154" t="s">
        <v>419</v>
      </c>
    </row>
    <row r="64" s="2" customFormat="1" ht="60" customHeight="1" outlineLevel="2" spans="1:13">
      <c r="A64" s="107">
        <v>7</v>
      </c>
      <c r="B64" s="190" t="s">
        <v>476</v>
      </c>
      <c r="C64" s="190" t="s">
        <v>592</v>
      </c>
      <c r="D64" s="191" t="s">
        <v>229</v>
      </c>
      <c r="E64" s="192" t="s">
        <v>198</v>
      </c>
      <c r="F64" s="173">
        <v>245.16</v>
      </c>
      <c r="G64" s="112"/>
      <c r="H64" s="112"/>
      <c r="I64" s="156">
        <f>SUM(G64:H64)*$I$4</f>
        <v>0</v>
      </c>
      <c r="J64" s="156">
        <f>SUM(G64:I64)*$J$4</f>
        <v>0</v>
      </c>
      <c r="K64" s="156">
        <f t="shared" si="12"/>
        <v>0</v>
      </c>
      <c r="L64" s="156">
        <f t="shared" si="13"/>
        <v>0</v>
      </c>
      <c r="M64" s="154" t="s">
        <v>578</v>
      </c>
    </row>
    <row r="65" s="2" customFormat="1" ht="55.95" customHeight="1" outlineLevel="2" spans="1:13">
      <c r="A65" s="24">
        <v>8</v>
      </c>
      <c r="B65" s="113" t="s">
        <v>237</v>
      </c>
      <c r="C65" s="114" t="s">
        <v>593</v>
      </c>
      <c r="D65" s="167" t="s">
        <v>233</v>
      </c>
      <c r="E65" s="116" t="s">
        <v>211</v>
      </c>
      <c r="F65" s="64">
        <f>+F64+22.07*0.28</f>
        <v>251.3396</v>
      </c>
      <c r="G65" s="65"/>
      <c r="H65" s="65"/>
      <c r="I65" s="42">
        <f>SUM(G65:H65)*$I$4</f>
        <v>0</v>
      </c>
      <c r="J65" s="42">
        <f>SUM(G65:I65)*$J$4</f>
        <v>0</v>
      </c>
      <c r="K65" s="42">
        <f t="shared" si="12"/>
        <v>0</v>
      </c>
      <c r="L65" s="42">
        <f t="shared" si="13"/>
        <v>0</v>
      </c>
      <c r="M65" s="154" t="s">
        <v>419</v>
      </c>
    </row>
    <row r="66" s="2" customFormat="1" ht="63" customHeight="1" outlineLevel="2" spans="1:13">
      <c r="A66" s="24">
        <v>10</v>
      </c>
      <c r="B66" s="70" t="s">
        <v>580</v>
      </c>
      <c r="C66" s="70" t="s">
        <v>594</v>
      </c>
      <c r="D66" s="27" t="s">
        <v>229</v>
      </c>
      <c r="E66" s="28" t="s">
        <v>211</v>
      </c>
      <c r="F66" s="64">
        <v>1806.41</v>
      </c>
      <c r="G66" s="65"/>
      <c r="H66" s="65"/>
      <c r="I66" s="42">
        <f>SUM(G66:H66)*$I$4</f>
        <v>0</v>
      </c>
      <c r="J66" s="42">
        <f>SUM(G66:I66)*$J$4</f>
        <v>0</v>
      </c>
      <c r="K66" s="42">
        <f t="shared" si="12"/>
        <v>0</v>
      </c>
      <c r="L66" s="42">
        <f t="shared" si="13"/>
        <v>0</v>
      </c>
      <c r="M66" s="91" t="s">
        <v>519</v>
      </c>
    </row>
    <row r="67" s="2" customFormat="1" ht="72" customHeight="1" outlineLevel="2" spans="1:13">
      <c r="A67" s="24">
        <v>11</v>
      </c>
      <c r="B67" s="70" t="s">
        <v>595</v>
      </c>
      <c r="C67" s="70" t="s">
        <v>596</v>
      </c>
      <c r="D67" s="27" t="s">
        <v>229</v>
      </c>
      <c r="E67" s="28" t="s">
        <v>211</v>
      </c>
      <c r="F67" s="64">
        <v>126.36</v>
      </c>
      <c r="G67" s="65"/>
      <c r="H67" s="65"/>
      <c r="I67" s="42">
        <f>SUM(G67:H67)*$I$4</f>
        <v>0</v>
      </c>
      <c r="J67" s="42">
        <f>SUM(G67:I67)*$J$4</f>
        <v>0</v>
      </c>
      <c r="K67" s="42">
        <f t="shared" si="12"/>
        <v>0</v>
      </c>
      <c r="L67" s="42">
        <f t="shared" si="13"/>
        <v>0</v>
      </c>
      <c r="M67" s="91" t="s">
        <v>519</v>
      </c>
    </row>
    <row r="68" s="2" customFormat="1" ht="43.95" customHeight="1" outlineLevel="2" spans="1:13">
      <c r="A68" s="107">
        <v>12</v>
      </c>
      <c r="B68" s="195" t="s">
        <v>582</v>
      </c>
      <c r="C68" s="195" t="s">
        <v>583</v>
      </c>
      <c r="D68" s="125" t="s">
        <v>292</v>
      </c>
      <c r="E68" s="110" t="s">
        <v>138</v>
      </c>
      <c r="F68" s="111">
        <v>10</v>
      </c>
      <c r="G68" s="112"/>
      <c r="H68" s="112"/>
      <c r="I68" s="156">
        <f>SUM(G68:H68)*$I$4</f>
        <v>0</v>
      </c>
      <c r="J68" s="156">
        <f>SUM(G68:I68)*$J$4</f>
        <v>0</v>
      </c>
      <c r="K68" s="156">
        <f t="shared" si="12"/>
        <v>0</v>
      </c>
      <c r="L68" s="156">
        <f t="shared" si="13"/>
        <v>0</v>
      </c>
      <c r="M68" s="112"/>
    </row>
    <row r="69" s="2" customFormat="1" ht="70.95" customHeight="1" outlineLevel="2" spans="1:13">
      <c r="A69" s="24">
        <v>13</v>
      </c>
      <c r="B69" s="113" t="s">
        <v>247</v>
      </c>
      <c r="C69" s="71" t="s">
        <v>584</v>
      </c>
      <c r="D69" s="196" t="s">
        <v>249</v>
      </c>
      <c r="E69" s="116" t="s">
        <v>175</v>
      </c>
      <c r="F69" s="106">
        <v>330.9</v>
      </c>
      <c r="G69" s="65"/>
      <c r="H69" s="65"/>
      <c r="I69" s="42">
        <f>SUM(G69:H69)*$I$4</f>
        <v>0</v>
      </c>
      <c r="J69" s="42">
        <f>SUM(G69:I69)*$J$4</f>
        <v>0</v>
      </c>
      <c r="K69" s="42">
        <f t="shared" si="12"/>
        <v>0</v>
      </c>
      <c r="L69" s="42">
        <f t="shared" si="13"/>
        <v>0</v>
      </c>
      <c r="M69" s="91" t="s">
        <v>421</v>
      </c>
    </row>
    <row r="70" s="2" customFormat="1" ht="76.95" customHeight="1" outlineLevel="2" spans="1:13">
      <c r="A70" s="24">
        <v>14</v>
      </c>
      <c r="B70" s="113" t="s">
        <v>251</v>
      </c>
      <c r="C70" s="72" t="s">
        <v>597</v>
      </c>
      <c r="D70" s="196" t="s">
        <v>249</v>
      </c>
      <c r="E70" s="116" t="s">
        <v>175</v>
      </c>
      <c r="F70" s="106">
        <v>249.08</v>
      </c>
      <c r="G70" s="65"/>
      <c r="H70" s="65"/>
      <c r="I70" s="42">
        <f>SUM(G70:H70)*$I$4</f>
        <v>0</v>
      </c>
      <c r="J70" s="42">
        <f>SUM(G70:I70)*$J$4</f>
        <v>0</v>
      </c>
      <c r="K70" s="42">
        <f t="shared" si="12"/>
        <v>0</v>
      </c>
      <c r="L70" s="42">
        <f t="shared" si="13"/>
        <v>0</v>
      </c>
      <c r="M70" s="91" t="s">
        <v>421</v>
      </c>
    </row>
    <row r="71" s="2" customFormat="1" ht="39" customHeight="1" outlineLevel="1" spans="1:13">
      <c r="A71" s="58"/>
      <c r="B71" s="164" t="s">
        <v>598</v>
      </c>
      <c r="C71" s="165"/>
      <c r="D71" s="60"/>
      <c r="E71" s="60"/>
      <c r="F71" s="60"/>
      <c r="G71" s="61"/>
      <c r="H71" s="62"/>
      <c r="I71" s="62"/>
      <c r="J71" s="62"/>
      <c r="K71" s="62"/>
      <c r="L71" s="89"/>
      <c r="M71" s="62"/>
    </row>
    <row r="72" s="2" customFormat="1" ht="72" customHeight="1" outlineLevel="2" spans="1:13">
      <c r="A72" s="107">
        <v>1</v>
      </c>
      <c r="B72" s="184" t="s">
        <v>525</v>
      </c>
      <c r="C72" s="184" t="s">
        <v>599</v>
      </c>
      <c r="D72" s="184" t="s">
        <v>197</v>
      </c>
      <c r="E72" s="110" t="s">
        <v>198</v>
      </c>
      <c r="F72" s="173">
        <v>3192.97</v>
      </c>
      <c r="G72" s="112"/>
      <c r="H72" s="112"/>
      <c r="I72" s="156">
        <f>SUM(G72:H72)*$I$4</f>
        <v>0</v>
      </c>
      <c r="J72" s="156">
        <f>SUM(G72:I72)*$J$4</f>
        <v>0</v>
      </c>
      <c r="K72" s="156">
        <f t="shared" ref="K72:K82" si="14">SUM(G72:J72)</f>
        <v>0</v>
      </c>
      <c r="L72" s="156">
        <f t="shared" ref="L72:L82" si="15">F72*K72</f>
        <v>0</v>
      </c>
      <c r="M72" s="154" t="s">
        <v>571</v>
      </c>
    </row>
    <row r="73" s="2" customFormat="1" ht="60" customHeight="1" outlineLevel="2" spans="1:13">
      <c r="A73" s="24">
        <v>2</v>
      </c>
      <c r="B73" s="186" t="s">
        <v>572</v>
      </c>
      <c r="C73" s="187" t="s">
        <v>600</v>
      </c>
      <c r="D73" s="188" t="s">
        <v>233</v>
      </c>
      <c r="E73" s="127" t="s">
        <v>211</v>
      </c>
      <c r="F73" s="106">
        <v>5220.14</v>
      </c>
      <c r="G73" s="65"/>
      <c r="H73" s="65"/>
      <c r="I73" s="42">
        <f>SUM(G73:H73)*$I$4</f>
        <v>0</v>
      </c>
      <c r="J73" s="42">
        <f>SUM(G73:I73)*$J$4</f>
        <v>0</v>
      </c>
      <c r="K73" s="42">
        <f t="shared" si="14"/>
        <v>0</v>
      </c>
      <c r="L73" s="42">
        <f t="shared" si="15"/>
        <v>0</v>
      </c>
      <c r="M73" s="154" t="s">
        <v>419</v>
      </c>
    </row>
    <row r="74" s="2" customFormat="1" ht="76.95" customHeight="1" outlineLevel="2" spans="1:13">
      <c r="A74" s="24">
        <v>3</v>
      </c>
      <c r="B74" s="70" t="s">
        <v>227</v>
      </c>
      <c r="C74" s="70" t="s">
        <v>588</v>
      </c>
      <c r="D74" s="189" t="s">
        <v>229</v>
      </c>
      <c r="E74" s="28" t="s">
        <v>198</v>
      </c>
      <c r="F74" s="106">
        <v>1106.15</v>
      </c>
      <c r="G74" s="65"/>
      <c r="H74" s="65"/>
      <c r="I74" s="42">
        <f>SUM(G74:H74)*$I$4</f>
        <v>0</v>
      </c>
      <c r="J74" s="42">
        <f>SUM(G74:I74)*$J$4</f>
        <v>0</v>
      </c>
      <c r="K74" s="42">
        <f t="shared" si="14"/>
        <v>0</v>
      </c>
      <c r="L74" s="42">
        <f t="shared" si="15"/>
        <v>0</v>
      </c>
      <c r="M74" s="91" t="s">
        <v>418</v>
      </c>
    </row>
    <row r="75" s="2" customFormat="1" ht="76.95" customHeight="1" outlineLevel="2" spans="1:13">
      <c r="A75" s="24">
        <v>4</v>
      </c>
      <c r="B75" s="70" t="s">
        <v>231</v>
      </c>
      <c r="C75" s="70" t="s">
        <v>601</v>
      </c>
      <c r="D75" s="167" t="s">
        <v>233</v>
      </c>
      <c r="E75" s="28" t="s">
        <v>198</v>
      </c>
      <c r="F75" s="64">
        <f>+F74+(420.61+32.8+F81)*0.4+(263.04-32.8-21.07)*0.28</f>
        <v>1422.1456</v>
      </c>
      <c r="G75" s="65"/>
      <c r="H75" s="65"/>
      <c r="I75" s="42">
        <f>SUM(G75:H75)*$I$4</f>
        <v>0</v>
      </c>
      <c r="J75" s="42">
        <f>SUM(G75:I75)*$J$4</f>
        <v>0</v>
      </c>
      <c r="K75" s="42">
        <f t="shared" si="14"/>
        <v>0</v>
      </c>
      <c r="L75" s="42">
        <f t="shared" si="15"/>
        <v>0</v>
      </c>
      <c r="M75" s="154" t="s">
        <v>419</v>
      </c>
    </row>
    <row r="76" s="2" customFormat="1" ht="76.95" customHeight="1" outlineLevel="2" spans="1:13">
      <c r="A76" s="24">
        <v>5</v>
      </c>
      <c r="B76" s="70" t="s">
        <v>313</v>
      </c>
      <c r="C76" s="70" t="s">
        <v>590</v>
      </c>
      <c r="D76" s="189" t="s">
        <v>229</v>
      </c>
      <c r="E76" s="28" t="s">
        <v>198</v>
      </c>
      <c r="F76" s="106">
        <v>749.67</v>
      </c>
      <c r="G76" s="65"/>
      <c r="H76" s="65"/>
      <c r="I76" s="42">
        <f>SUM(G76:H76)*$I$4</f>
        <v>0</v>
      </c>
      <c r="J76" s="42">
        <f>SUM(G76:I76)*$J$4</f>
        <v>0</v>
      </c>
      <c r="K76" s="42">
        <f t="shared" si="14"/>
        <v>0</v>
      </c>
      <c r="L76" s="42">
        <f t="shared" si="15"/>
        <v>0</v>
      </c>
      <c r="M76" s="91" t="s">
        <v>438</v>
      </c>
    </row>
    <row r="77" s="2" customFormat="1" ht="55.05" customHeight="1" outlineLevel="2" spans="1:13">
      <c r="A77" s="24">
        <v>6</v>
      </c>
      <c r="B77" s="186" t="s">
        <v>472</v>
      </c>
      <c r="C77" s="187" t="s">
        <v>591</v>
      </c>
      <c r="D77" s="188" t="s">
        <v>233</v>
      </c>
      <c r="E77" s="127" t="s">
        <v>211</v>
      </c>
      <c r="F77" s="106">
        <f>208.13+346.94+43.54</f>
        <v>598.61</v>
      </c>
      <c r="G77" s="65"/>
      <c r="H77" s="65"/>
      <c r="I77" s="42">
        <f>SUM(G77:H77)*$I$4</f>
        <v>0</v>
      </c>
      <c r="J77" s="42">
        <f>SUM(G77:I77)*$J$4</f>
        <v>0</v>
      </c>
      <c r="K77" s="42">
        <f t="shared" si="14"/>
        <v>0</v>
      </c>
      <c r="L77" s="42">
        <f t="shared" si="15"/>
        <v>0</v>
      </c>
      <c r="M77" s="154" t="s">
        <v>419</v>
      </c>
    </row>
    <row r="78" s="2" customFormat="1" ht="60" customHeight="1" outlineLevel="2" spans="1:13">
      <c r="A78" s="107">
        <v>7</v>
      </c>
      <c r="B78" s="190" t="s">
        <v>476</v>
      </c>
      <c r="C78" s="190" t="s">
        <v>592</v>
      </c>
      <c r="D78" s="191" t="s">
        <v>229</v>
      </c>
      <c r="E78" s="192" t="s">
        <v>198</v>
      </c>
      <c r="F78" s="173">
        <v>179.76</v>
      </c>
      <c r="G78" s="112"/>
      <c r="H78" s="112"/>
      <c r="I78" s="156">
        <f>SUM(G78:H78)*$I$4</f>
        <v>0</v>
      </c>
      <c r="J78" s="156">
        <f>SUM(G78:I78)*$J$4</f>
        <v>0</v>
      </c>
      <c r="K78" s="156">
        <f t="shared" si="14"/>
        <v>0</v>
      </c>
      <c r="L78" s="156">
        <f t="shared" si="15"/>
        <v>0</v>
      </c>
      <c r="M78" s="154" t="s">
        <v>578</v>
      </c>
    </row>
    <row r="79" s="2" customFormat="1" ht="61.95" customHeight="1" outlineLevel="2" spans="1:13">
      <c r="A79" s="24">
        <v>8</v>
      </c>
      <c r="B79" s="113" t="s">
        <v>237</v>
      </c>
      <c r="C79" s="114" t="s">
        <v>593</v>
      </c>
      <c r="D79" s="167" t="s">
        <v>233</v>
      </c>
      <c r="E79" s="116" t="s">
        <v>211</v>
      </c>
      <c r="F79" s="64">
        <f>+F78+21.07*0.28</f>
        <v>185.6596</v>
      </c>
      <c r="G79" s="65"/>
      <c r="H79" s="65"/>
      <c r="I79" s="42">
        <f>SUM(G79:H79)*$I$4</f>
        <v>0</v>
      </c>
      <c r="J79" s="42">
        <f>SUM(G79:I79)*$J$4</f>
        <v>0</v>
      </c>
      <c r="K79" s="42">
        <f t="shared" si="14"/>
        <v>0</v>
      </c>
      <c r="L79" s="42">
        <f t="shared" si="15"/>
        <v>0</v>
      </c>
      <c r="M79" s="154" t="s">
        <v>419</v>
      </c>
    </row>
    <row r="80" s="2" customFormat="1" ht="51" customHeight="1" outlineLevel="2" spans="1:13">
      <c r="A80" s="169">
        <v>10</v>
      </c>
      <c r="B80" s="195" t="s">
        <v>582</v>
      </c>
      <c r="C80" s="195" t="s">
        <v>602</v>
      </c>
      <c r="D80" s="125" t="s">
        <v>292</v>
      </c>
      <c r="E80" s="110" t="s">
        <v>138</v>
      </c>
      <c r="F80" s="111">
        <v>9</v>
      </c>
      <c r="G80" s="112"/>
      <c r="H80" s="112"/>
      <c r="I80" s="156">
        <f>SUM(G80:H80)*$I$4</f>
        <v>0</v>
      </c>
      <c r="J80" s="156">
        <f>SUM(G80:I80)*$J$4</f>
        <v>0</v>
      </c>
      <c r="K80" s="156">
        <f t="shared" si="14"/>
        <v>0</v>
      </c>
      <c r="L80" s="156">
        <f t="shared" si="15"/>
        <v>0</v>
      </c>
      <c r="M80" s="112"/>
    </row>
    <row r="81" s="2" customFormat="1" ht="66" customHeight="1" outlineLevel="2" spans="1:13">
      <c r="A81" s="202">
        <v>11</v>
      </c>
      <c r="B81" s="113" t="s">
        <v>247</v>
      </c>
      <c r="C81" s="71" t="s">
        <v>584</v>
      </c>
      <c r="D81" s="196" t="s">
        <v>249</v>
      </c>
      <c r="E81" s="116" t="s">
        <v>175</v>
      </c>
      <c r="F81" s="106">
        <v>190.16</v>
      </c>
      <c r="G81" s="65"/>
      <c r="H81" s="65"/>
      <c r="I81" s="42">
        <f>SUM(G81:H81)*$I$4</f>
        <v>0</v>
      </c>
      <c r="J81" s="42">
        <f>SUM(G81:I81)*$J$4</f>
        <v>0</v>
      </c>
      <c r="K81" s="42">
        <f t="shared" si="14"/>
        <v>0</v>
      </c>
      <c r="L81" s="42">
        <f t="shared" si="15"/>
        <v>0</v>
      </c>
      <c r="M81" s="91" t="s">
        <v>421</v>
      </c>
    </row>
    <row r="82" s="2" customFormat="1" ht="69" customHeight="1" outlineLevel="2" spans="1:13">
      <c r="A82" s="202">
        <v>12</v>
      </c>
      <c r="B82" s="113" t="s">
        <v>251</v>
      </c>
      <c r="C82" s="72" t="s">
        <v>597</v>
      </c>
      <c r="D82" s="196" t="s">
        <v>249</v>
      </c>
      <c r="E82" s="116" t="s">
        <v>175</v>
      </c>
      <c r="F82" s="106">
        <v>263.04</v>
      </c>
      <c r="G82" s="65"/>
      <c r="H82" s="65"/>
      <c r="I82" s="42">
        <f>SUM(G82:H82)*$I$4</f>
        <v>0</v>
      </c>
      <c r="J82" s="42">
        <f>SUM(G82:I82)*$J$4</f>
        <v>0</v>
      </c>
      <c r="K82" s="42">
        <f t="shared" si="14"/>
        <v>0</v>
      </c>
      <c r="L82" s="42">
        <f t="shared" si="15"/>
        <v>0</v>
      </c>
      <c r="M82" s="91" t="s">
        <v>421</v>
      </c>
    </row>
    <row r="83" s="2" customFormat="1" ht="39" customHeight="1" outlineLevel="1" spans="1:13">
      <c r="A83" s="58"/>
      <c r="B83" s="164" t="s">
        <v>603</v>
      </c>
      <c r="C83" s="165"/>
      <c r="D83" s="60"/>
      <c r="E83" s="60"/>
      <c r="F83" s="60"/>
      <c r="G83" s="61"/>
      <c r="H83" s="62"/>
      <c r="I83" s="62"/>
      <c r="J83" s="62"/>
      <c r="K83" s="62"/>
      <c r="L83" s="89"/>
      <c r="M83" s="62"/>
    </row>
    <row r="84" s="2" customFormat="1" ht="72" outlineLevel="2" spans="1:13">
      <c r="A84" s="107">
        <v>1</v>
      </c>
      <c r="B84" s="184" t="s">
        <v>525</v>
      </c>
      <c r="C84" s="184" t="s">
        <v>599</v>
      </c>
      <c r="D84" s="184" t="s">
        <v>197</v>
      </c>
      <c r="E84" s="110" t="s">
        <v>198</v>
      </c>
      <c r="F84" s="173">
        <v>2732.26</v>
      </c>
      <c r="G84" s="112"/>
      <c r="H84" s="112"/>
      <c r="I84" s="156">
        <f>SUM(G84:H84)*$I$4</f>
        <v>0</v>
      </c>
      <c r="J84" s="156">
        <f>SUM(G84:I84)*$J$4</f>
        <v>0</v>
      </c>
      <c r="K84" s="156">
        <f t="shared" ref="K84:K95" si="16">SUM(G84:J84)</f>
        <v>0</v>
      </c>
      <c r="L84" s="156">
        <f t="shared" ref="L84:L95" si="17">F84*K84</f>
        <v>0</v>
      </c>
      <c r="M84" s="154" t="s">
        <v>571</v>
      </c>
    </row>
    <row r="85" s="2" customFormat="1" ht="76.95" customHeight="1" outlineLevel="2" spans="1:13">
      <c r="A85" s="24">
        <v>2</v>
      </c>
      <c r="B85" s="186" t="s">
        <v>572</v>
      </c>
      <c r="C85" s="187" t="s">
        <v>600</v>
      </c>
      <c r="D85" s="188" t="s">
        <v>233</v>
      </c>
      <c r="E85" s="127" t="s">
        <v>211</v>
      </c>
      <c r="F85" s="106">
        <v>4449.72</v>
      </c>
      <c r="G85" s="65"/>
      <c r="H85" s="65"/>
      <c r="I85" s="42">
        <f>SUM(G85:H85)*$I$4</f>
        <v>0</v>
      </c>
      <c r="J85" s="42">
        <f>SUM(G85:I85)*$J$4</f>
        <v>0</v>
      </c>
      <c r="K85" s="42">
        <f t="shared" si="16"/>
        <v>0</v>
      </c>
      <c r="L85" s="42">
        <f t="shared" si="17"/>
        <v>0</v>
      </c>
      <c r="M85" s="154" t="s">
        <v>419</v>
      </c>
    </row>
    <row r="86" s="2" customFormat="1" ht="76.95" customHeight="1" outlineLevel="2" spans="1:13">
      <c r="A86" s="24">
        <v>3</v>
      </c>
      <c r="B86" s="70" t="s">
        <v>227</v>
      </c>
      <c r="C86" s="70" t="s">
        <v>574</v>
      </c>
      <c r="D86" s="189" t="s">
        <v>229</v>
      </c>
      <c r="E86" s="28" t="s">
        <v>198</v>
      </c>
      <c r="F86" s="106">
        <v>984.49</v>
      </c>
      <c r="G86" s="65"/>
      <c r="H86" s="65"/>
      <c r="I86" s="42">
        <f>SUM(G86:H86)*$I$4</f>
        <v>0</v>
      </c>
      <c r="J86" s="42">
        <f>SUM(G86:I86)*$J$4</f>
        <v>0</v>
      </c>
      <c r="K86" s="42">
        <f t="shared" si="16"/>
        <v>0</v>
      </c>
      <c r="L86" s="42">
        <f t="shared" si="17"/>
        <v>0</v>
      </c>
      <c r="M86" s="91" t="s">
        <v>418</v>
      </c>
    </row>
    <row r="87" s="2" customFormat="1" ht="76.95" customHeight="1" outlineLevel="2" spans="1:13">
      <c r="A87" s="24">
        <v>4</v>
      </c>
      <c r="B87" s="70" t="s">
        <v>231</v>
      </c>
      <c r="C87" s="70" t="s">
        <v>601</v>
      </c>
      <c r="D87" s="167" t="s">
        <v>233</v>
      </c>
      <c r="E87" s="28" t="s">
        <v>198</v>
      </c>
      <c r="F87" s="64">
        <f>+F86+F94*0.4+504.87*0.4+F95*0.28</f>
        <v>1311.8788</v>
      </c>
      <c r="G87" s="65"/>
      <c r="H87" s="65"/>
      <c r="I87" s="42">
        <f>SUM(G87:H87)*$I$4</f>
        <v>0</v>
      </c>
      <c r="J87" s="42">
        <f>SUM(G87:I87)*$J$4</f>
        <v>0</v>
      </c>
      <c r="K87" s="42">
        <f t="shared" si="16"/>
        <v>0</v>
      </c>
      <c r="L87" s="42">
        <f t="shared" si="17"/>
        <v>0</v>
      </c>
      <c r="M87" s="154" t="s">
        <v>419</v>
      </c>
    </row>
    <row r="88" s="2" customFormat="1" ht="76.95" customHeight="1" outlineLevel="2" spans="1:13">
      <c r="A88" s="24">
        <v>5</v>
      </c>
      <c r="B88" s="70" t="s">
        <v>313</v>
      </c>
      <c r="C88" s="70" t="s">
        <v>590</v>
      </c>
      <c r="D88" s="189" t="s">
        <v>229</v>
      </c>
      <c r="E88" s="28" t="s">
        <v>198</v>
      </c>
      <c r="F88" s="106">
        <v>730.87</v>
      </c>
      <c r="G88" s="65"/>
      <c r="H88" s="65"/>
      <c r="I88" s="42">
        <f>SUM(G88:H88)*$I$4</f>
        <v>0</v>
      </c>
      <c r="J88" s="42">
        <f>SUM(G88:I88)*$J$4</f>
        <v>0</v>
      </c>
      <c r="K88" s="42">
        <f t="shared" si="16"/>
        <v>0</v>
      </c>
      <c r="L88" s="42">
        <f t="shared" si="17"/>
        <v>0</v>
      </c>
      <c r="M88" s="91" t="s">
        <v>438</v>
      </c>
    </row>
    <row r="89" s="2" customFormat="1" ht="55.05" customHeight="1" outlineLevel="2" spans="1:13">
      <c r="A89" s="24">
        <v>6</v>
      </c>
      <c r="B89" s="186" t="s">
        <v>472</v>
      </c>
      <c r="C89" s="187" t="s">
        <v>591</v>
      </c>
      <c r="D89" s="188" t="s">
        <v>233</v>
      </c>
      <c r="E89" s="127" t="s">
        <v>211</v>
      </c>
      <c r="F89" s="106">
        <f>201.51+347.35+43.54</f>
        <v>592.4</v>
      </c>
      <c r="G89" s="65"/>
      <c r="H89" s="65"/>
      <c r="I89" s="42">
        <f>SUM(G89:H89)*$I$4</f>
        <v>0</v>
      </c>
      <c r="J89" s="42">
        <f>SUM(G89:I89)*$J$4</f>
        <v>0</v>
      </c>
      <c r="K89" s="42">
        <f t="shared" si="16"/>
        <v>0</v>
      </c>
      <c r="L89" s="42">
        <f t="shared" si="17"/>
        <v>0</v>
      </c>
      <c r="M89" s="154" t="s">
        <v>419</v>
      </c>
    </row>
    <row r="90" s="2" customFormat="1" ht="60" customHeight="1" outlineLevel="2" spans="1:13">
      <c r="A90" s="24">
        <v>7</v>
      </c>
      <c r="B90" s="186" t="s">
        <v>476</v>
      </c>
      <c r="C90" s="186" t="s">
        <v>592</v>
      </c>
      <c r="D90" s="114" t="s">
        <v>229</v>
      </c>
      <c r="E90" s="116" t="s">
        <v>198</v>
      </c>
      <c r="F90" s="106">
        <v>208.56</v>
      </c>
      <c r="G90" s="65"/>
      <c r="H90" s="65"/>
      <c r="I90" s="42">
        <f>SUM(G90:H90)*$I$4</f>
        <v>0</v>
      </c>
      <c r="J90" s="42">
        <f>SUM(G90:I90)*$J$4</f>
        <v>0</v>
      </c>
      <c r="K90" s="42">
        <f t="shared" si="16"/>
        <v>0</v>
      </c>
      <c r="L90" s="42">
        <f t="shared" si="17"/>
        <v>0</v>
      </c>
      <c r="M90" s="91" t="s">
        <v>418</v>
      </c>
    </row>
    <row r="91" s="2" customFormat="1" ht="52.95" customHeight="1" outlineLevel="2" spans="1:13">
      <c r="A91" s="24">
        <v>8</v>
      </c>
      <c r="B91" s="113" t="s">
        <v>237</v>
      </c>
      <c r="C91" s="114" t="s">
        <v>593</v>
      </c>
      <c r="D91" s="167" t="s">
        <v>233</v>
      </c>
      <c r="E91" s="116" t="s">
        <v>211</v>
      </c>
      <c r="F91" s="64">
        <f>+F90+21.07*0.28</f>
        <v>214.4596</v>
      </c>
      <c r="G91" s="65"/>
      <c r="H91" s="65"/>
      <c r="I91" s="42">
        <f>SUM(G91:H91)*$I$4</f>
        <v>0</v>
      </c>
      <c r="J91" s="42">
        <f>SUM(G91:I91)*$J$4</f>
        <v>0</v>
      </c>
      <c r="K91" s="42">
        <f t="shared" si="16"/>
        <v>0</v>
      </c>
      <c r="L91" s="42">
        <f t="shared" si="17"/>
        <v>0</v>
      </c>
      <c r="M91" s="154" t="s">
        <v>419</v>
      </c>
    </row>
    <row r="92" s="2" customFormat="1" ht="46.05" customHeight="1" outlineLevel="2" spans="1:13">
      <c r="A92" s="107">
        <v>10</v>
      </c>
      <c r="B92" s="195" t="s">
        <v>582</v>
      </c>
      <c r="C92" s="195" t="s">
        <v>583</v>
      </c>
      <c r="D92" s="125" t="s">
        <v>292</v>
      </c>
      <c r="E92" s="110" t="s">
        <v>138</v>
      </c>
      <c r="F92" s="111">
        <v>23</v>
      </c>
      <c r="G92" s="112"/>
      <c r="H92" s="112"/>
      <c r="I92" s="156">
        <f>SUM(G92:H92)*$I$4</f>
        <v>0</v>
      </c>
      <c r="J92" s="156">
        <f>SUM(G92:I92)*$J$4</f>
        <v>0</v>
      </c>
      <c r="K92" s="156">
        <f t="shared" si="16"/>
        <v>0</v>
      </c>
      <c r="L92" s="156">
        <f t="shared" si="17"/>
        <v>0</v>
      </c>
      <c r="M92" s="215"/>
    </row>
    <row r="93" s="2" customFormat="1" ht="49.05" customHeight="1" outlineLevel="2" spans="1:13">
      <c r="A93" s="107">
        <v>11</v>
      </c>
      <c r="B93" s="195" t="s">
        <v>582</v>
      </c>
      <c r="C93" s="195" t="s">
        <v>602</v>
      </c>
      <c r="D93" s="125" t="s">
        <v>292</v>
      </c>
      <c r="E93" s="110" t="s">
        <v>138</v>
      </c>
      <c r="F93" s="111">
        <v>6</v>
      </c>
      <c r="G93" s="112"/>
      <c r="H93" s="112"/>
      <c r="I93" s="156">
        <f>SUM(G93:H93)*$I$4</f>
        <v>0</v>
      </c>
      <c r="J93" s="156">
        <f>SUM(G93:I93)*$J$4</f>
        <v>0</v>
      </c>
      <c r="K93" s="156">
        <f t="shared" si="16"/>
        <v>0</v>
      </c>
      <c r="L93" s="156">
        <f t="shared" si="17"/>
        <v>0</v>
      </c>
      <c r="M93" s="112"/>
    </row>
    <row r="94" s="2" customFormat="1" ht="60" customHeight="1" outlineLevel="2" spans="1:13">
      <c r="A94" s="24">
        <v>12</v>
      </c>
      <c r="B94" s="113" t="s">
        <v>247</v>
      </c>
      <c r="C94" s="71" t="s">
        <v>584</v>
      </c>
      <c r="D94" s="196" t="s">
        <v>249</v>
      </c>
      <c r="E94" s="116" t="s">
        <v>175</v>
      </c>
      <c r="F94" s="106">
        <v>190.15</v>
      </c>
      <c r="G94" s="65"/>
      <c r="H94" s="65"/>
      <c r="I94" s="42">
        <f>SUM(G94:H94)*$I$4</f>
        <v>0</v>
      </c>
      <c r="J94" s="42">
        <f>SUM(G94:I94)*$J$4</f>
        <v>0</v>
      </c>
      <c r="K94" s="42">
        <f t="shared" si="16"/>
        <v>0</v>
      </c>
      <c r="L94" s="42">
        <f t="shared" si="17"/>
        <v>0</v>
      </c>
      <c r="M94" s="91" t="s">
        <v>421</v>
      </c>
    </row>
    <row r="95" s="2" customFormat="1" ht="60" customHeight="1" outlineLevel="2" spans="1:13">
      <c r="A95" s="24">
        <v>13</v>
      </c>
      <c r="B95" s="113" t="s">
        <v>251</v>
      </c>
      <c r="C95" s="72" t="s">
        <v>597</v>
      </c>
      <c r="D95" s="196" t="s">
        <v>249</v>
      </c>
      <c r="E95" s="116" t="s">
        <v>175</v>
      </c>
      <c r="F95" s="106">
        <v>176.36</v>
      </c>
      <c r="G95" s="65"/>
      <c r="H95" s="65"/>
      <c r="I95" s="42">
        <f>SUM(G95:H95)*$I$4</f>
        <v>0</v>
      </c>
      <c r="J95" s="42">
        <f>SUM(G95:I95)*$J$4</f>
        <v>0</v>
      </c>
      <c r="K95" s="42">
        <f t="shared" si="16"/>
        <v>0</v>
      </c>
      <c r="L95" s="42">
        <f t="shared" si="17"/>
        <v>0</v>
      </c>
      <c r="M95" s="91" t="s">
        <v>421</v>
      </c>
    </row>
    <row r="96" s="2" customFormat="1" ht="39" customHeight="1" outlineLevel="1" spans="1:13">
      <c r="A96" s="58"/>
      <c r="B96" s="164" t="s">
        <v>604</v>
      </c>
      <c r="C96" s="165"/>
      <c r="D96" s="60"/>
      <c r="E96" s="60"/>
      <c r="F96" s="60"/>
      <c r="G96" s="61"/>
      <c r="H96" s="62"/>
      <c r="I96" s="62"/>
      <c r="J96" s="62"/>
      <c r="K96" s="62"/>
      <c r="L96" s="89"/>
      <c r="M96" s="62"/>
    </row>
    <row r="97" s="2" customFormat="1" ht="72" outlineLevel="2" spans="1:13">
      <c r="A97" s="107">
        <v>1</v>
      </c>
      <c r="B97" s="184" t="s">
        <v>525</v>
      </c>
      <c r="C97" s="184" t="s">
        <v>599</v>
      </c>
      <c r="D97" s="184" t="s">
        <v>197</v>
      </c>
      <c r="E97" s="110" t="s">
        <v>198</v>
      </c>
      <c r="F97" s="173">
        <v>1958.86</v>
      </c>
      <c r="G97" s="112"/>
      <c r="H97" s="112"/>
      <c r="I97" s="156">
        <f>SUM(G97:H97)*$I$4</f>
        <v>0</v>
      </c>
      <c r="J97" s="156">
        <f>SUM(G97:I97)*$J$4</f>
        <v>0</v>
      </c>
      <c r="K97" s="156">
        <f t="shared" ref="K97:K107" si="18">SUM(G97:J97)</f>
        <v>0</v>
      </c>
      <c r="L97" s="156">
        <f t="shared" ref="L97:L107" si="19">F97*K97</f>
        <v>0</v>
      </c>
      <c r="M97" s="154" t="s">
        <v>571</v>
      </c>
    </row>
    <row r="98" s="2" customFormat="1" ht="76.95" customHeight="1" outlineLevel="2" spans="1:13">
      <c r="A98" s="24">
        <v>2</v>
      </c>
      <c r="B98" s="186" t="s">
        <v>572</v>
      </c>
      <c r="C98" s="187" t="s">
        <v>600</v>
      </c>
      <c r="D98" s="188" t="s">
        <v>233</v>
      </c>
      <c r="E98" s="127" t="s">
        <v>211</v>
      </c>
      <c r="F98" s="106">
        <v>3284.94</v>
      </c>
      <c r="G98" s="65"/>
      <c r="H98" s="65"/>
      <c r="I98" s="42">
        <f>SUM(G98:H98)*$I$4</f>
        <v>0</v>
      </c>
      <c r="J98" s="42">
        <f>SUM(G98:I98)*$J$4</f>
        <v>0</v>
      </c>
      <c r="K98" s="42">
        <f t="shared" si="18"/>
        <v>0</v>
      </c>
      <c r="L98" s="42">
        <f t="shared" si="19"/>
        <v>0</v>
      </c>
      <c r="M98" s="154" t="s">
        <v>419</v>
      </c>
    </row>
    <row r="99" s="2" customFormat="1" ht="76.95" customHeight="1" outlineLevel="2" spans="1:13">
      <c r="A99" s="24">
        <v>3</v>
      </c>
      <c r="B99" s="70" t="s">
        <v>227</v>
      </c>
      <c r="C99" s="70" t="s">
        <v>588</v>
      </c>
      <c r="D99" s="189" t="s">
        <v>229</v>
      </c>
      <c r="E99" s="28" t="s">
        <v>198</v>
      </c>
      <c r="F99" s="106">
        <v>1902.07</v>
      </c>
      <c r="G99" s="65"/>
      <c r="H99" s="65"/>
      <c r="I99" s="42">
        <f>SUM(G99:H99)*$I$4</f>
        <v>0</v>
      </c>
      <c r="J99" s="42">
        <f>SUM(G99:I99)*$J$4</f>
        <v>0</v>
      </c>
      <c r="K99" s="42">
        <f t="shared" si="18"/>
        <v>0</v>
      </c>
      <c r="L99" s="42">
        <f t="shared" si="19"/>
        <v>0</v>
      </c>
      <c r="M99" s="91" t="s">
        <v>418</v>
      </c>
    </row>
    <row r="100" s="2" customFormat="1" ht="76.95" customHeight="1" outlineLevel="2" spans="1:13">
      <c r="A100" s="24">
        <v>4</v>
      </c>
      <c r="B100" s="70" t="s">
        <v>231</v>
      </c>
      <c r="C100" s="70" t="s">
        <v>601</v>
      </c>
      <c r="D100" s="167" t="s">
        <v>233</v>
      </c>
      <c r="E100" s="28" t="s">
        <v>198</v>
      </c>
      <c r="F100" s="64">
        <f>+F99+920.98*0.4+(F107-21.03)*0.28+F106*0.4</f>
        <v>2513.778</v>
      </c>
      <c r="G100" s="65"/>
      <c r="H100" s="65"/>
      <c r="I100" s="42">
        <f>SUM(G100:H100)*$I$4</f>
        <v>0</v>
      </c>
      <c r="J100" s="42">
        <f>SUM(G100:I100)*$J$4</f>
        <v>0</v>
      </c>
      <c r="K100" s="42">
        <f t="shared" si="18"/>
        <v>0</v>
      </c>
      <c r="L100" s="42">
        <f t="shared" si="19"/>
        <v>0</v>
      </c>
      <c r="M100" s="154" t="s">
        <v>419</v>
      </c>
    </row>
    <row r="101" s="2" customFormat="1" ht="76.95" customHeight="1" outlineLevel="2" spans="1:13">
      <c r="A101" s="24">
        <v>5</v>
      </c>
      <c r="B101" s="70" t="s">
        <v>313</v>
      </c>
      <c r="C101" s="70" t="s">
        <v>590</v>
      </c>
      <c r="D101" s="189" t="s">
        <v>229</v>
      </c>
      <c r="E101" s="28" t="s">
        <v>198</v>
      </c>
      <c r="F101" s="106">
        <v>952.34</v>
      </c>
      <c r="G101" s="65"/>
      <c r="H101" s="65"/>
      <c r="I101" s="42">
        <f>SUM(G101:H101)*$I$4</f>
        <v>0</v>
      </c>
      <c r="J101" s="42">
        <f>SUM(G101:I101)*$J$4</f>
        <v>0</v>
      </c>
      <c r="K101" s="42">
        <f t="shared" si="18"/>
        <v>0</v>
      </c>
      <c r="L101" s="42">
        <f t="shared" si="19"/>
        <v>0</v>
      </c>
      <c r="M101" s="91" t="s">
        <v>438</v>
      </c>
    </row>
    <row r="102" s="2" customFormat="1" ht="55.05" customHeight="1" outlineLevel="2" spans="1:13">
      <c r="A102" s="24">
        <v>6</v>
      </c>
      <c r="B102" s="186" t="s">
        <v>605</v>
      </c>
      <c r="C102" s="187" t="s">
        <v>606</v>
      </c>
      <c r="D102" s="188" t="s">
        <v>233</v>
      </c>
      <c r="E102" s="127" t="s">
        <v>211</v>
      </c>
      <c r="F102" s="106">
        <f>891.03+353.1+41.23</f>
        <v>1285.36</v>
      </c>
      <c r="G102" s="65"/>
      <c r="H102" s="65"/>
      <c r="I102" s="42">
        <f>SUM(G102:H102)*$I$4</f>
        <v>0</v>
      </c>
      <c r="J102" s="42">
        <f>SUM(G102:I102)*$J$4</f>
        <v>0</v>
      </c>
      <c r="K102" s="42">
        <f t="shared" si="18"/>
        <v>0</v>
      </c>
      <c r="L102" s="42">
        <f t="shared" si="19"/>
        <v>0</v>
      </c>
      <c r="M102" s="154" t="s">
        <v>419</v>
      </c>
    </row>
    <row r="103" s="2" customFormat="1" ht="60" customHeight="1" outlineLevel="2" spans="1:13">
      <c r="A103" s="107">
        <v>7</v>
      </c>
      <c r="B103" s="190" t="s">
        <v>476</v>
      </c>
      <c r="C103" s="190" t="s">
        <v>592</v>
      </c>
      <c r="D103" s="191" t="s">
        <v>229</v>
      </c>
      <c r="E103" s="192" t="s">
        <v>198</v>
      </c>
      <c r="F103" s="173">
        <v>169.03</v>
      </c>
      <c r="G103" s="112"/>
      <c r="H103" s="112"/>
      <c r="I103" s="156">
        <f>SUM(G103:H103)*$I$4</f>
        <v>0</v>
      </c>
      <c r="J103" s="156">
        <f>SUM(G103:I103)*$J$4</f>
        <v>0</v>
      </c>
      <c r="K103" s="156">
        <f t="shared" si="18"/>
        <v>0</v>
      </c>
      <c r="L103" s="156">
        <f t="shared" si="19"/>
        <v>0</v>
      </c>
      <c r="M103" s="91" t="s">
        <v>515</v>
      </c>
    </row>
    <row r="104" s="2" customFormat="1" ht="61.95" customHeight="1" outlineLevel="2" spans="1:13">
      <c r="A104" s="24">
        <v>8</v>
      </c>
      <c r="B104" s="113" t="s">
        <v>237</v>
      </c>
      <c r="C104" s="114" t="s">
        <v>593</v>
      </c>
      <c r="D104" s="167" t="s">
        <v>233</v>
      </c>
      <c r="E104" s="116" t="s">
        <v>211</v>
      </c>
      <c r="F104" s="64">
        <f>+F103+21.03*0.28</f>
        <v>174.9184</v>
      </c>
      <c r="G104" s="65"/>
      <c r="H104" s="65"/>
      <c r="I104" s="42">
        <f>SUM(G104:H104)*$I$4</f>
        <v>0</v>
      </c>
      <c r="J104" s="42">
        <f>SUM(G104:I104)*$J$4</f>
        <v>0</v>
      </c>
      <c r="K104" s="42">
        <f t="shared" si="18"/>
        <v>0</v>
      </c>
      <c r="L104" s="42">
        <f t="shared" si="19"/>
        <v>0</v>
      </c>
      <c r="M104" s="154" t="s">
        <v>419</v>
      </c>
    </row>
    <row r="105" s="2" customFormat="1" ht="48" customHeight="1" outlineLevel="2" spans="1:13">
      <c r="A105" s="107">
        <v>10</v>
      </c>
      <c r="B105" s="195" t="s">
        <v>582</v>
      </c>
      <c r="C105" s="195" t="s">
        <v>583</v>
      </c>
      <c r="D105" s="125" t="s">
        <v>292</v>
      </c>
      <c r="E105" s="110" t="s">
        <v>138</v>
      </c>
      <c r="F105" s="111">
        <v>23</v>
      </c>
      <c r="G105" s="112"/>
      <c r="H105" s="112"/>
      <c r="I105" s="156">
        <f>SUM(G105:H105)*$I$4</f>
        <v>0</v>
      </c>
      <c r="J105" s="156">
        <f>SUM(G105:I105)*$J$4</f>
        <v>0</v>
      </c>
      <c r="K105" s="156">
        <f t="shared" si="18"/>
        <v>0</v>
      </c>
      <c r="L105" s="156">
        <f t="shared" si="19"/>
        <v>0</v>
      </c>
      <c r="M105" s="215"/>
    </row>
    <row r="106" s="2" customFormat="1" ht="64.05" customHeight="1" outlineLevel="2" spans="1:13">
      <c r="A106" s="24">
        <v>11</v>
      </c>
      <c r="B106" s="113" t="s">
        <v>247</v>
      </c>
      <c r="C106" s="71" t="s">
        <v>584</v>
      </c>
      <c r="D106" s="196" t="s">
        <v>249</v>
      </c>
      <c r="E106" s="116" t="s">
        <v>175</v>
      </c>
      <c r="F106" s="106">
        <v>206.42</v>
      </c>
      <c r="G106" s="65"/>
      <c r="H106" s="65"/>
      <c r="I106" s="42">
        <f>SUM(G106:H106)*$I$4</f>
        <v>0</v>
      </c>
      <c r="J106" s="42">
        <f>SUM(G106:I106)*$J$4</f>
        <v>0</v>
      </c>
      <c r="K106" s="42">
        <f t="shared" si="18"/>
        <v>0</v>
      </c>
      <c r="L106" s="42">
        <f t="shared" si="19"/>
        <v>0</v>
      </c>
      <c r="M106" s="91" t="s">
        <v>421</v>
      </c>
    </row>
    <row r="107" s="2" customFormat="1" ht="64.05" customHeight="1" outlineLevel="2" spans="1:13">
      <c r="A107" s="24">
        <v>12</v>
      </c>
      <c r="B107" s="113" t="s">
        <v>251</v>
      </c>
      <c r="C107" s="72" t="s">
        <v>597</v>
      </c>
      <c r="D107" s="196" t="s">
        <v>249</v>
      </c>
      <c r="E107" s="116" t="s">
        <v>175</v>
      </c>
      <c r="F107" s="106">
        <v>595.13</v>
      </c>
      <c r="G107" s="65"/>
      <c r="H107" s="65"/>
      <c r="I107" s="42">
        <f>SUM(G107:H107)*$I$4</f>
        <v>0</v>
      </c>
      <c r="J107" s="42">
        <f>SUM(G107:I107)*$J$4</f>
        <v>0</v>
      </c>
      <c r="K107" s="42">
        <f t="shared" si="18"/>
        <v>0</v>
      </c>
      <c r="L107" s="42">
        <f t="shared" si="19"/>
        <v>0</v>
      </c>
      <c r="M107" s="91" t="s">
        <v>421</v>
      </c>
    </row>
    <row r="108" s="2" customFormat="1" ht="33" customHeight="1" spans="1:13">
      <c r="A108" s="58" t="s">
        <v>254</v>
      </c>
      <c r="B108" s="164" t="s">
        <v>345</v>
      </c>
      <c r="C108" s="165"/>
      <c r="D108" s="60"/>
      <c r="E108" s="60"/>
      <c r="F108" s="60"/>
      <c r="G108" s="61"/>
      <c r="H108" s="62"/>
      <c r="I108" s="62"/>
      <c r="J108" s="62"/>
      <c r="K108" s="62"/>
      <c r="L108" s="89"/>
      <c r="M108" s="62"/>
    </row>
    <row r="109" s="2" customFormat="1" ht="99" customHeight="1" outlineLevel="1" spans="1:13">
      <c r="A109" s="107">
        <v>1</v>
      </c>
      <c r="B109" s="124" t="s">
        <v>607</v>
      </c>
      <c r="C109" s="203" t="s">
        <v>608</v>
      </c>
      <c r="D109" s="204" t="s">
        <v>609</v>
      </c>
      <c r="E109" s="110" t="s">
        <v>198</v>
      </c>
      <c r="F109" s="147">
        <f>(4.4+0.12)*4*3</f>
        <v>54.24</v>
      </c>
      <c r="G109" s="112"/>
      <c r="H109" s="112"/>
      <c r="I109" s="156">
        <f>SUM(G109:H109)*$I$4</f>
        <v>0</v>
      </c>
      <c r="J109" s="156">
        <f>SUM(G109:I109)*$J$4</f>
        <v>0</v>
      </c>
      <c r="K109" s="156">
        <f t="shared" ref="K109:K131" si="20">SUM(G109:J109)</f>
        <v>0</v>
      </c>
      <c r="L109" s="156">
        <f t="shared" ref="L109:L131" si="21">F109*K109</f>
        <v>0</v>
      </c>
      <c r="M109" s="29" t="s">
        <v>610</v>
      </c>
    </row>
    <row r="110" s="2" customFormat="1" ht="99" customHeight="1" outlineLevel="1" spans="1:13">
      <c r="A110" s="107">
        <v>2</v>
      </c>
      <c r="B110" s="124" t="s">
        <v>611</v>
      </c>
      <c r="C110" s="203" t="s">
        <v>612</v>
      </c>
      <c r="D110" s="205" t="s">
        <v>197</v>
      </c>
      <c r="E110" s="110" t="s">
        <v>198</v>
      </c>
      <c r="F110" s="147">
        <v>60</v>
      </c>
      <c r="G110" s="112"/>
      <c r="H110" s="112"/>
      <c r="I110" s="156">
        <f>SUM(G110:H110)*$I$4</f>
        <v>0</v>
      </c>
      <c r="J110" s="156">
        <f>SUM(G110:I110)*$J$4</f>
        <v>0</v>
      </c>
      <c r="K110" s="156">
        <f t="shared" si="20"/>
        <v>0</v>
      </c>
      <c r="L110" s="156">
        <f t="shared" si="21"/>
        <v>0</v>
      </c>
      <c r="M110" s="29" t="s">
        <v>613</v>
      </c>
    </row>
    <row r="111" s="2" customFormat="1" ht="97.05" customHeight="1" outlineLevel="1" spans="1:13">
      <c r="A111" s="24">
        <v>7</v>
      </c>
      <c r="B111" s="73" t="s">
        <v>614</v>
      </c>
      <c r="C111" s="63" t="s">
        <v>615</v>
      </c>
      <c r="D111" s="27" t="s">
        <v>206</v>
      </c>
      <c r="E111" s="28" t="s">
        <v>175</v>
      </c>
      <c r="F111" s="206">
        <f>1243.77+965.05+536.25</f>
        <v>2745.07</v>
      </c>
      <c r="G111" s="65"/>
      <c r="H111" s="65"/>
      <c r="I111" s="42">
        <f>SUM(G111:H111)*$M$4</f>
        <v>0</v>
      </c>
      <c r="J111" s="42" t="e">
        <f>SUM(G111:I111)*#REF!</f>
        <v>#REF!</v>
      </c>
      <c r="K111" s="42" t="e">
        <f t="shared" si="20"/>
        <v>#REF!</v>
      </c>
      <c r="L111" s="42" t="e">
        <f t="shared" si="21"/>
        <v>#REF!</v>
      </c>
      <c r="M111" s="29" t="s">
        <v>274</v>
      </c>
    </row>
    <row r="112" s="2" customFormat="1" ht="97.05" customHeight="1" outlineLevel="1" spans="1:13">
      <c r="A112" s="24">
        <v>8</v>
      </c>
      <c r="B112" s="25" t="s">
        <v>616</v>
      </c>
      <c r="C112" s="75" t="s">
        <v>617</v>
      </c>
      <c r="D112" s="27" t="s">
        <v>197</v>
      </c>
      <c r="E112" s="28" t="s">
        <v>211</v>
      </c>
      <c r="F112" s="206">
        <f>16141.87+3577.41+2606.3</f>
        <v>22325.58</v>
      </c>
      <c r="G112" s="65"/>
      <c r="H112" s="65"/>
      <c r="I112" s="42">
        <f>SUM(G112:H112)*$M$4</f>
        <v>0</v>
      </c>
      <c r="J112" s="42" t="e">
        <f>SUM(G112:I112)*#REF!</f>
        <v>#REF!</v>
      </c>
      <c r="K112" s="42" t="e">
        <f t="shared" si="20"/>
        <v>#REF!</v>
      </c>
      <c r="L112" s="42" t="e">
        <f t="shared" si="21"/>
        <v>#REF!</v>
      </c>
      <c r="M112" s="29" t="s">
        <v>419</v>
      </c>
    </row>
    <row r="113" s="2" customFormat="1" ht="118.95" customHeight="1" outlineLevel="1" spans="1:13">
      <c r="A113" s="107">
        <v>9</v>
      </c>
      <c r="B113" s="124" t="s">
        <v>618</v>
      </c>
      <c r="C113" s="207" t="s">
        <v>619</v>
      </c>
      <c r="D113" s="125" t="s">
        <v>197</v>
      </c>
      <c r="E113" s="110" t="s">
        <v>211</v>
      </c>
      <c r="F113" s="147">
        <f>2169.86+561.24</f>
        <v>2731.1</v>
      </c>
      <c r="G113" s="112"/>
      <c r="H113" s="112"/>
      <c r="I113" s="156">
        <f>SUM(G113:H113)*$M$4</f>
        <v>0</v>
      </c>
      <c r="J113" s="156" t="e">
        <f>SUM(G113:I113)*#REF!</f>
        <v>#REF!</v>
      </c>
      <c r="K113" s="156" t="e">
        <f t="shared" si="20"/>
        <v>#REF!</v>
      </c>
      <c r="L113" s="156" t="e">
        <f t="shared" si="21"/>
        <v>#REF!</v>
      </c>
      <c r="M113" s="29" t="s">
        <v>620</v>
      </c>
    </row>
    <row r="114" s="2" customFormat="1" ht="88.05" customHeight="1" outlineLevel="1" spans="1:13">
      <c r="A114" s="107">
        <v>10</v>
      </c>
      <c r="B114" s="195" t="s">
        <v>621</v>
      </c>
      <c r="C114" s="208" t="s">
        <v>622</v>
      </c>
      <c r="D114" s="125" t="s">
        <v>197</v>
      </c>
      <c r="E114" s="110" t="s">
        <v>211</v>
      </c>
      <c r="F114" s="147">
        <f>185.43</f>
        <v>185.43</v>
      </c>
      <c r="G114" s="112"/>
      <c r="H114" s="112"/>
      <c r="I114" s="156">
        <f>SUM(G114:H114)*$M$4</f>
        <v>0</v>
      </c>
      <c r="J114" s="156" t="e">
        <f>SUM(G114:I114)*#REF!</f>
        <v>#REF!</v>
      </c>
      <c r="K114" s="156" t="e">
        <f t="shared" si="20"/>
        <v>#REF!</v>
      </c>
      <c r="L114" s="156" t="e">
        <f t="shared" si="21"/>
        <v>#REF!</v>
      </c>
      <c r="M114" s="29" t="s">
        <v>623</v>
      </c>
    </row>
    <row r="115" s="2" customFormat="1" ht="97.05" customHeight="1" outlineLevel="1" spans="1:13">
      <c r="A115" s="107">
        <v>11</v>
      </c>
      <c r="B115" s="195" t="s">
        <v>624</v>
      </c>
      <c r="C115" s="208" t="s">
        <v>625</v>
      </c>
      <c r="D115" s="125" t="s">
        <v>197</v>
      </c>
      <c r="E115" s="110" t="s">
        <v>211</v>
      </c>
      <c r="F115" s="147">
        <f>90.66</f>
        <v>90.66</v>
      </c>
      <c r="G115" s="112"/>
      <c r="H115" s="112"/>
      <c r="I115" s="156">
        <f>SUM(G115:H115)*$M$4</f>
        <v>0</v>
      </c>
      <c r="J115" s="156" t="e">
        <f>SUM(G115:I115)*#REF!</f>
        <v>#REF!</v>
      </c>
      <c r="K115" s="156" t="e">
        <f t="shared" si="20"/>
        <v>#REF!</v>
      </c>
      <c r="L115" s="156" t="e">
        <f t="shared" si="21"/>
        <v>#REF!</v>
      </c>
      <c r="M115" s="29" t="s">
        <v>610</v>
      </c>
    </row>
    <row r="116" s="2" customFormat="1" ht="97.05" customHeight="1" outlineLevel="1" spans="1:13">
      <c r="A116" s="107">
        <v>12</v>
      </c>
      <c r="B116" s="124" t="s">
        <v>626</v>
      </c>
      <c r="C116" s="208" t="s">
        <v>627</v>
      </c>
      <c r="D116" s="125" t="s">
        <v>197</v>
      </c>
      <c r="E116" s="110" t="s">
        <v>211</v>
      </c>
      <c r="F116" s="147">
        <f>553.07+49.02+48.9</f>
        <v>650.99</v>
      </c>
      <c r="G116" s="112"/>
      <c r="H116" s="112"/>
      <c r="I116" s="156">
        <f>SUM(G116:H116)*$M$4</f>
        <v>0</v>
      </c>
      <c r="J116" s="156" t="e">
        <f>SUM(G116:I116)*#REF!</f>
        <v>#REF!</v>
      </c>
      <c r="K116" s="156" t="e">
        <f t="shared" si="20"/>
        <v>#REF!</v>
      </c>
      <c r="L116" s="156" t="e">
        <f t="shared" si="21"/>
        <v>#REF!</v>
      </c>
      <c r="M116" s="29" t="s">
        <v>620</v>
      </c>
    </row>
    <row r="117" s="2" customFormat="1" ht="97.05" customHeight="1" outlineLevel="1" spans="1:13">
      <c r="A117" s="107">
        <v>13</v>
      </c>
      <c r="B117" s="124" t="s">
        <v>628</v>
      </c>
      <c r="C117" s="203" t="s">
        <v>629</v>
      </c>
      <c r="D117" s="205" t="s">
        <v>197</v>
      </c>
      <c r="E117" s="110" t="s">
        <v>198</v>
      </c>
      <c r="F117" s="147">
        <f>88.2</f>
        <v>88.2</v>
      </c>
      <c r="G117" s="112"/>
      <c r="H117" s="112"/>
      <c r="I117" s="156">
        <f>SUM(G117:H117)*$I$4</f>
        <v>0</v>
      </c>
      <c r="J117" s="156">
        <f>SUM(G117:I117)*$J$4</f>
        <v>0</v>
      </c>
      <c r="K117" s="156">
        <f t="shared" si="20"/>
        <v>0</v>
      </c>
      <c r="L117" s="156">
        <f t="shared" si="21"/>
        <v>0</v>
      </c>
      <c r="M117" s="29" t="s">
        <v>630</v>
      </c>
    </row>
    <row r="118" s="2" customFormat="1" ht="97.05" customHeight="1" outlineLevel="1" spans="1:13">
      <c r="A118" s="24">
        <v>14</v>
      </c>
      <c r="B118" s="209" t="s">
        <v>631</v>
      </c>
      <c r="C118" s="63" t="s">
        <v>632</v>
      </c>
      <c r="D118" s="27" t="s">
        <v>197</v>
      </c>
      <c r="E118" s="28" t="s">
        <v>211</v>
      </c>
      <c r="F118" s="206">
        <f>1081.72+653.39</f>
        <v>1735.11</v>
      </c>
      <c r="G118" s="65"/>
      <c r="H118" s="65"/>
      <c r="I118" s="42">
        <f>SUM(G118:H118)*$M$4</f>
        <v>0</v>
      </c>
      <c r="J118" s="42" t="e">
        <f>SUM(G118:I118)*#REF!</f>
        <v>#REF!</v>
      </c>
      <c r="K118" s="42" t="e">
        <f t="shared" si="20"/>
        <v>#REF!</v>
      </c>
      <c r="L118" s="42" t="e">
        <f t="shared" si="21"/>
        <v>#REF!</v>
      </c>
      <c r="M118" s="29" t="s">
        <v>633</v>
      </c>
    </row>
    <row r="119" s="2" customFormat="1" ht="69" customHeight="1" outlineLevel="1" spans="1:13">
      <c r="A119" s="24">
        <v>15</v>
      </c>
      <c r="B119" s="210" t="s">
        <v>634</v>
      </c>
      <c r="C119" s="211" t="s">
        <v>635</v>
      </c>
      <c r="D119" s="212" t="s">
        <v>269</v>
      </c>
      <c r="E119" s="213" t="s">
        <v>211</v>
      </c>
      <c r="F119" s="206">
        <v>19.8</v>
      </c>
      <c r="G119" s="65"/>
      <c r="H119" s="65"/>
      <c r="I119" s="42">
        <f>SUM(G119:H119)*$I$4</f>
        <v>0</v>
      </c>
      <c r="J119" s="42">
        <f>SUM(G119:I119)*$J$4</f>
        <v>0</v>
      </c>
      <c r="K119" s="42">
        <f t="shared" si="20"/>
        <v>0</v>
      </c>
      <c r="L119" s="42">
        <f t="shared" si="21"/>
        <v>0</v>
      </c>
      <c r="M119" s="29" t="s">
        <v>636</v>
      </c>
    </row>
    <row r="120" s="2" customFormat="1" ht="81" customHeight="1" outlineLevel="1" spans="1:13">
      <c r="A120" s="107">
        <v>16</v>
      </c>
      <c r="B120" s="208" t="s">
        <v>637</v>
      </c>
      <c r="C120" s="208" t="s">
        <v>638</v>
      </c>
      <c r="D120" s="125" t="s">
        <v>197</v>
      </c>
      <c r="E120" s="110" t="s">
        <v>211</v>
      </c>
      <c r="F120" s="147">
        <v>187.08</v>
      </c>
      <c r="G120" s="112"/>
      <c r="H120" s="112"/>
      <c r="I120" s="156">
        <f>SUM(G120:H120)*$M$4</f>
        <v>0</v>
      </c>
      <c r="J120" s="156" t="e">
        <f>SUM(G120:I120)*#REF!</f>
        <v>#REF!</v>
      </c>
      <c r="K120" s="156" t="e">
        <f t="shared" si="20"/>
        <v>#REF!</v>
      </c>
      <c r="L120" s="156" t="e">
        <f t="shared" si="21"/>
        <v>#REF!</v>
      </c>
      <c r="M120" s="29" t="s">
        <v>639</v>
      </c>
    </row>
    <row r="121" s="2" customFormat="1" ht="85.05" customHeight="1" outlineLevel="1" spans="1:13">
      <c r="A121" s="107">
        <v>17</v>
      </c>
      <c r="B121" s="208" t="s">
        <v>640</v>
      </c>
      <c r="C121" s="208" t="s">
        <v>641</v>
      </c>
      <c r="D121" s="125" t="s">
        <v>197</v>
      </c>
      <c r="E121" s="110" t="s">
        <v>211</v>
      </c>
      <c r="F121" s="147">
        <v>540.41</v>
      </c>
      <c r="G121" s="112"/>
      <c r="H121" s="112"/>
      <c r="I121" s="156">
        <f>SUM(G121:H121)*$M$4</f>
        <v>0</v>
      </c>
      <c r="J121" s="156" t="e">
        <f>SUM(G121:I121)*#REF!</f>
        <v>#REF!</v>
      </c>
      <c r="K121" s="156" t="e">
        <f t="shared" si="20"/>
        <v>#REF!</v>
      </c>
      <c r="L121" s="156" t="e">
        <f t="shared" si="21"/>
        <v>#REF!</v>
      </c>
      <c r="M121" s="29" t="s">
        <v>642</v>
      </c>
    </row>
    <row r="122" s="2" customFormat="1" ht="85.95" customHeight="1" outlineLevel="1" spans="1:13">
      <c r="A122" s="107">
        <v>18</v>
      </c>
      <c r="B122" s="208" t="s">
        <v>643</v>
      </c>
      <c r="C122" s="208" t="s">
        <v>644</v>
      </c>
      <c r="D122" s="125" t="s">
        <v>197</v>
      </c>
      <c r="E122" s="110" t="s">
        <v>211</v>
      </c>
      <c r="F122" s="147">
        <v>12.98</v>
      </c>
      <c r="G122" s="112"/>
      <c r="H122" s="112"/>
      <c r="I122" s="156">
        <f>SUM(G122:H122)*$M$4</f>
        <v>0</v>
      </c>
      <c r="J122" s="156" t="e">
        <f>SUM(G122:I122)*#REF!</f>
        <v>#REF!</v>
      </c>
      <c r="K122" s="156" t="e">
        <f t="shared" si="20"/>
        <v>#REF!</v>
      </c>
      <c r="L122" s="156" t="e">
        <f t="shared" si="21"/>
        <v>#REF!</v>
      </c>
      <c r="M122" s="29" t="s">
        <v>642</v>
      </c>
    </row>
    <row r="123" s="2" customFormat="1" ht="97.05" customHeight="1" outlineLevel="1" spans="1:13">
      <c r="A123" s="24">
        <v>19</v>
      </c>
      <c r="B123" s="25" t="s">
        <v>645</v>
      </c>
      <c r="C123" s="214" t="s">
        <v>646</v>
      </c>
      <c r="D123" s="27" t="s">
        <v>197</v>
      </c>
      <c r="E123" s="28" t="s">
        <v>211</v>
      </c>
      <c r="F123" s="206">
        <f>2816.65+654.36</f>
        <v>3471.01</v>
      </c>
      <c r="G123" s="65"/>
      <c r="H123" s="65"/>
      <c r="I123" s="42">
        <f>SUM(G123:H123)*$M$4</f>
        <v>0</v>
      </c>
      <c r="J123" s="42" t="e">
        <f>SUM(G123:I123)*#REF!</f>
        <v>#REF!</v>
      </c>
      <c r="K123" s="42" t="e">
        <f t="shared" si="20"/>
        <v>#REF!</v>
      </c>
      <c r="L123" s="42" t="e">
        <f t="shared" si="21"/>
        <v>#REF!</v>
      </c>
      <c r="M123" s="29" t="s">
        <v>410</v>
      </c>
    </row>
    <row r="124" s="2" customFormat="1" ht="145.05" customHeight="1" outlineLevel="1" spans="1:13">
      <c r="A124" s="24">
        <v>20</v>
      </c>
      <c r="B124" s="25" t="s">
        <v>647</v>
      </c>
      <c r="C124" s="63" t="s">
        <v>648</v>
      </c>
      <c r="D124" s="27" t="s">
        <v>197</v>
      </c>
      <c r="E124" s="28" t="s">
        <v>211</v>
      </c>
      <c r="F124" s="206">
        <f>1241.96+704.94</f>
        <v>1946.9</v>
      </c>
      <c r="G124" s="65"/>
      <c r="H124" s="65"/>
      <c r="I124" s="42">
        <f>SUM(G124:H124)*$M$4</f>
        <v>0</v>
      </c>
      <c r="J124" s="42" t="e">
        <f>SUM(G124:I124)*#REF!</f>
        <v>#REF!</v>
      </c>
      <c r="K124" s="42" t="e">
        <f t="shared" si="20"/>
        <v>#REF!</v>
      </c>
      <c r="L124" s="42" t="e">
        <f t="shared" si="21"/>
        <v>#REF!</v>
      </c>
      <c r="M124" s="29" t="s">
        <v>410</v>
      </c>
    </row>
    <row r="125" s="2" customFormat="1" ht="97.05" customHeight="1" outlineLevel="1" spans="1:13">
      <c r="A125" s="107">
        <v>21</v>
      </c>
      <c r="B125" s="124" t="s">
        <v>649</v>
      </c>
      <c r="C125" s="183" t="s">
        <v>650</v>
      </c>
      <c r="D125" s="125" t="s">
        <v>197</v>
      </c>
      <c r="E125" s="110" t="s">
        <v>211</v>
      </c>
      <c r="F125" s="147">
        <v>46.73</v>
      </c>
      <c r="G125" s="112"/>
      <c r="H125" s="112"/>
      <c r="I125" s="156">
        <f>SUM(G125:H125)*$M$4</f>
        <v>0</v>
      </c>
      <c r="J125" s="156" t="e">
        <f>SUM(G125:I125)*#REF!</f>
        <v>#REF!</v>
      </c>
      <c r="K125" s="156" t="e">
        <f t="shared" si="20"/>
        <v>#REF!</v>
      </c>
      <c r="L125" s="156" t="e">
        <f t="shared" si="21"/>
        <v>#REF!</v>
      </c>
      <c r="M125" s="29" t="s">
        <v>651</v>
      </c>
    </row>
    <row r="126" s="2" customFormat="1" ht="88.05" customHeight="1" outlineLevel="1" spans="1:13">
      <c r="A126" s="107">
        <v>22</v>
      </c>
      <c r="B126" s="124" t="s">
        <v>652</v>
      </c>
      <c r="C126" s="183" t="s">
        <v>653</v>
      </c>
      <c r="D126" s="125" t="s">
        <v>197</v>
      </c>
      <c r="E126" s="110" t="s">
        <v>211</v>
      </c>
      <c r="F126" s="147">
        <f>106.22+124.2</f>
        <v>230.42</v>
      </c>
      <c r="G126" s="112"/>
      <c r="H126" s="112"/>
      <c r="I126" s="156">
        <f>SUM(G126:H126)*$M$4</f>
        <v>0</v>
      </c>
      <c r="J126" s="156" t="e">
        <f>SUM(G126:I126)*#REF!</f>
        <v>#REF!</v>
      </c>
      <c r="K126" s="156" t="e">
        <f t="shared" si="20"/>
        <v>#REF!</v>
      </c>
      <c r="L126" s="156" t="e">
        <f t="shared" si="21"/>
        <v>#REF!</v>
      </c>
      <c r="M126" s="29" t="s">
        <v>651</v>
      </c>
    </row>
    <row r="127" s="2" customFormat="1" ht="78" customHeight="1" outlineLevel="1" spans="1:13">
      <c r="A127" s="24">
        <v>23</v>
      </c>
      <c r="B127" s="25" t="s">
        <v>654</v>
      </c>
      <c r="C127" s="63" t="s">
        <v>655</v>
      </c>
      <c r="D127" s="27" t="s">
        <v>349</v>
      </c>
      <c r="E127" s="28" t="s">
        <v>211</v>
      </c>
      <c r="F127" s="206">
        <v>265.772</v>
      </c>
      <c r="G127" s="65"/>
      <c r="H127" s="65"/>
      <c r="I127" s="42">
        <f>SUM(G127:H127)*$M$4</f>
        <v>0</v>
      </c>
      <c r="J127" s="42" t="e">
        <f>SUM(G127:I127)*#REF!</f>
        <v>#REF!</v>
      </c>
      <c r="K127" s="42" t="e">
        <f t="shared" si="20"/>
        <v>#REF!</v>
      </c>
      <c r="L127" s="42" t="e">
        <f t="shared" si="21"/>
        <v>#REF!</v>
      </c>
      <c r="M127" s="29" t="s">
        <v>428</v>
      </c>
    </row>
    <row r="128" s="2" customFormat="1" ht="81" customHeight="1" outlineLevel="1" spans="1:13">
      <c r="A128" s="24">
        <v>24</v>
      </c>
      <c r="B128" s="25" t="s">
        <v>656</v>
      </c>
      <c r="C128" s="63" t="s">
        <v>657</v>
      </c>
      <c r="D128" s="27" t="s">
        <v>349</v>
      </c>
      <c r="E128" s="28" t="s">
        <v>211</v>
      </c>
      <c r="F128" s="206">
        <f>58.1+6</f>
        <v>64.1</v>
      </c>
      <c r="G128" s="65"/>
      <c r="H128" s="65"/>
      <c r="I128" s="42">
        <f>SUM(G128:H128)*$M$4</f>
        <v>0</v>
      </c>
      <c r="J128" s="42" t="e">
        <f>SUM(G128:I128)*#REF!</f>
        <v>#REF!</v>
      </c>
      <c r="K128" s="42" t="e">
        <f t="shared" si="20"/>
        <v>#REF!</v>
      </c>
      <c r="L128" s="42" t="e">
        <f t="shared" si="21"/>
        <v>#REF!</v>
      </c>
      <c r="M128" s="29" t="s">
        <v>428</v>
      </c>
    </row>
    <row r="129" s="2" customFormat="1" ht="90" customHeight="1" outlineLevel="1" spans="1:13">
      <c r="A129" s="107">
        <v>27</v>
      </c>
      <c r="B129" s="124" t="s">
        <v>262</v>
      </c>
      <c r="C129" s="183" t="s">
        <v>658</v>
      </c>
      <c r="D129" s="216" t="s">
        <v>659</v>
      </c>
      <c r="E129" s="110" t="s">
        <v>211</v>
      </c>
      <c r="F129" s="147">
        <f>67.82+1.6*2.1+1.6*2.3+1.9*2.3</f>
        <v>79.23</v>
      </c>
      <c r="G129" s="112"/>
      <c r="H129" s="112"/>
      <c r="I129" s="156">
        <f>SUM(G129:H129)*$M$4</f>
        <v>0</v>
      </c>
      <c r="J129" s="156" t="e">
        <f>SUM(G129:I129)*#REF!</f>
        <v>#REF!</v>
      </c>
      <c r="K129" s="156" t="e">
        <f t="shared" si="20"/>
        <v>#REF!</v>
      </c>
      <c r="L129" s="156" t="e">
        <f t="shared" si="21"/>
        <v>#REF!</v>
      </c>
      <c r="M129" s="158" t="s">
        <v>426</v>
      </c>
    </row>
    <row r="130" s="2" customFormat="1" ht="84" customHeight="1" outlineLevel="1" spans="1:13">
      <c r="A130" s="107">
        <v>28</v>
      </c>
      <c r="B130" s="124" t="s">
        <v>660</v>
      </c>
      <c r="C130" s="183" t="s">
        <v>661</v>
      </c>
      <c r="D130" s="216" t="s">
        <v>659</v>
      </c>
      <c r="E130" s="110" t="s">
        <v>211</v>
      </c>
      <c r="F130" s="147">
        <f>66.76+2.1*2+0.9*2.1</f>
        <v>72.85</v>
      </c>
      <c r="G130" s="112"/>
      <c r="H130" s="112"/>
      <c r="I130" s="156">
        <f>SUM(G130:H130)*$M$4</f>
        <v>0</v>
      </c>
      <c r="J130" s="156" t="e">
        <f>SUM(G130:I130)*#REF!</f>
        <v>#REF!</v>
      </c>
      <c r="K130" s="156" t="e">
        <f t="shared" si="20"/>
        <v>#REF!</v>
      </c>
      <c r="L130" s="156" t="e">
        <f t="shared" si="21"/>
        <v>#REF!</v>
      </c>
      <c r="M130" s="158" t="s">
        <v>426</v>
      </c>
    </row>
    <row r="131" s="2" customFormat="1" ht="97.05" customHeight="1" outlineLevel="1" spans="1:13">
      <c r="A131" s="24">
        <v>37</v>
      </c>
      <c r="B131" s="209" t="s">
        <v>662</v>
      </c>
      <c r="C131" s="217" t="s">
        <v>663</v>
      </c>
      <c r="D131" s="27" t="s">
        <v>349</v>
      </c>
      <c r="E131" s="66" t="s">
        <v>211</v>
      </c>
      <c r="F131" s="206">
        <v>12.763</v>
      </c>
      <c r="G131" s="65"/>
      <c r="H131" s="65"/>
      <c r="I131" s="42">
        <f>SUM(G131:H131)*$M$4</f>
        <v>0</v>
      </c>
      <c r="J131" s="42" t="e">
        <f>SUM(G131:I131)*#REF!</f>
        <v>#REF!</v>
      </c>
      <c r="K131" s="42" t="e">
        <f t="shared" si="20"/>
        <v>#REF!</v>
      </c>
      <c r="L131" s="42" t="e">
        <f t="shared" si="21"/>
        <v>#REF!</v>
      </c>
      <c r="M131" s="29" t="s">
        <v>664</v>
      </c>
    </row>
    <row r="132" ht="28.05" customHeight="1" spans="1:13">
      <c r="A132" s="61" t="s">
        <v>293</v>
      </c>
      <c r="B132" s="164" t="s">
        <v>294</v>
      </c>
      <c r="C132" s="165"/>
      <c r="D132" s="60"/>
      <c r="E132" s="60"/>
      <c r="F132" s="60"/>
      <c r="G132" s="61"/>
      <c r="H132" s="62"/>
      <c r="I132" s="62"/>
      <c r="J132" s="62"/>
      <c r="K132" s="62"/>
      <c r="L132" s="89"/>
      <c r="M132" s="62"/>
    </row>
    <row r="133" s="3" customFormat="1" ht="25.95" customHeight="1" outlineLevel="1" spans="1:13">
      <c r="A133" s="24">
        <v>2</v>
      </c>
      <c r="B133" s="76" t="s">
        <v>295</v>
      </c>
      <c r="C133" s="76" t="s">
        <v>296</v>
      </c>
      <c r="D133" s="27" t="s">
        <v>297</v>
      </c>
      <c r="E133" s="28" t="s">
        <v>211</v>
      </c>
      <c r="F133" s="29">
        <v>33484.29</v>
      </c>
      <c r="G133" s="65"/>
      <c r="H133" s="65"/>
      <c r="I133" s="42">
        <f>SUM(G133:H133)*$I$4</f>
        <v>0</v>
      </c>
      <c r="J133" s="42">
        <f>SUM(G133:I133)*$J$4</f>
        <v>0</v>
      </c>
      <c r="K133" s="42">
        <f>SUM(G133:J133)</f>
        <v>0</v>
      </c>
      <c r="L133" s="42">
        <f t="shared" ref="L133:L135" si="22">F133*K133</f>
        <v>0</v>
      </c>
      <c r="M133" s="91" t="s">
        <v>298</v>
      </c>
    </row>
    <row r="134" s="3" customFormat="1" ht="25.95" customHeight="1" outlineLevel="1" spans="1:13">
      <c r="A134" s="24">
        <v>3</v>
      </c>
      <c r="B134" s="76" t="s">
        <v>299</v>
      </c>
      <c r="C134" s="76" t="s">
        <v>300</v>
      </c>
      <c r="D134" s="27" t="s">
        <v>297</v>
      </c>
      <c r="E134" s="28" t="s">
        <v>211</v>
      </c>
      <c r="F134" s="29">
        <v>33484.29</v>
      </c>
      <c r="G134" s="65"/>
      <c r="H134" s="65"/>
      <c r="I134" s="42">
        <f>SUM(G134:H134)*$I$4</f>
        <v>0</v>
      </c>
      <c r="J134" s="42">
        <f>SUM(G134:I134)*$J$4</f>
        <v>0</v>
      </c>
      <c r="K134" s="42">
        <f>SUM(G134:J134)</f>
        <v>0</v>
      </c>
      <c r="L134" s="42">
        <f t="shared" si="22"/>
        <v>0</v>
      </c>
      <c r="M134" s="91" t="s">
        <v>301</v>
      </c>
    </row>
    <row r="135" s="3" customFormat="1" ht="25.95" customHeight="1" outlineLevel="1" spans="1:13">
      <c r="A135" s="24">
        <v>4</v>
      </c>
      <c r="B135" s="76" t="s">
        <v>302</v>
      </c>
      <c r="C135" s="76" t="s">
        <v>302</v>
      </c>
      <c r="D135" s="27" t="s">
        <v>297</v>
      </c>
      <c r="E135" s="28" t="s">
        <v>211</v>
      </c>
      <c r="F135" s="29">
        <v>33484.29</v>
      </c>
      <c r="G135" s="65"/>
      <c r="H135" s="65"/>
      <c r="I135" s="42">
        <f>SUM(G135:H135)*$I$4</f>
        <v>0</v>
      </c>
      <c r="J135" s="42">
        <f>SUM(G135:I135)*$J$4</f>
        <v>0</v>
      </c>
      <c r="K135" s="42">
        <f>SUM(G135:J135)</f>
        <v>0</v>
      </c>
      <c r="L135" s="42">
        <f t="shared" si="22"/>
        <v>0</v>
      </c>
      <c r="M135" s="91" t="s">
        <v>303</v>
      </c>
    </row>
    <row r="136" ht="24.9" customHeight="1" spans="1:13">
      <c r="A136" s="77"/>
      <c r="B136" s="218" t="s">
        <v>63</v>
      </c>
      <c r="C136" s="219"/>
      <c r="D136" s="80"/>
      <c r="E136" s="80"/>
      <c r="F136" s="80"/>
      <c r="G136" s="81"/>
      <c r="H136" s="82"/>
      <c r="I136" s="82"/>
      <c r="J136" s="82"/>
      <c r="K136" s="82"/>
      <c r="L136" s="95" t="e">
        <f>SUM(L6:L135)</f>
        <v>#REF!</v>
      </c>
      <c r="M136" s="82"/>
    </row>
    <row r="137" ht="20.1" customHeight="1" spans="1:7">
      <c r="A137" s="83"/>
      <c r="B137" s="83"/>
      <c r="C137" s="83"/>
      <c r="D137" s="83"/>
      <c r="E137" s="83"/>
      <c r="F137" s="83"/>
      <c r="G137" s="83"/>
    </row>
    <row r="138" ht="20.1" customHeight="1"/>
    <row r="139" ht="20.1" customHeight="1"/>
    <row r="140" ht="20.1" customHeight="1"/>
    <row r="141" ht="20.1" customHeight="1"/>
    <row r="142" ht="20.1" customHeight="1"/>
    <row r="143" ht="20.1" customHeight="1"/>
    <row r="144" ht="20.1" customHeight="1"/>
    <row r="145" ht="20.1" customHeight="1"/>
    <row r="146" ht="20.1" customHeight="1"/>
    <row r="147" ht="20.1" customHeight="1"/>
    <row r="148" ht="20.1" customHeight="1"/>
    <row r="149" ht="20.1" customHeight="1"/>
    <row r="150" ht="20.1" customHeight="1"/>
    <row r="151" ht="20.1" customHeight="1"/>
    <row r="152" ht="20.1" customHeight="1"/>
    <row r="153" ht="20.1" customHeight="1"/>
    <row r="154" ht="20.1" customHeight="1"/>
    <row r="155" ht="20.1" customHeight="1"/>
    <row r="156" ht="20.1" customHeight="1"/>
  </sheetData>
  <sheetProtection formatCells="0" insertHyperlinks="0" autoFilter="0"/>
  <autoFilter ref="A4:M136">
    <extLst/>
  </autoFilter>
  <mergeCells count="28">
    <mergeCell ref="A1:M1"/>
    <mergeCell ref="G2:J2"/>
    <mergeCell ref="B5:C5"/>
    <mergeCell ref="B6:C6"/>
    <mergeCell ref="B13:C13"/>
    <mergeCell ref="B20:C20"/>
    <mergeCell ref="B27:C27"/>
    <mergeCell ref="B34:C34"/>
    <mergeCell ref="B42:C42"/>
    <mergeCell ref="B43:C43"/>
    <mergeCell ref="B57:C57"/>
    <mergeCell ref="B71:C71"/>
    <mergeCell ref="B83:C83"/>
    <mergeCell ref="B96:C96"/>
    <mergeCell ref="B108:C108"/>
    <mergeCell ref="B132:C132"/>
    <mergeCell ref="B136:C136"/>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7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6"/>
  <sheetViews>
    <sheetView view="pageBreakPreview" zoomScale="80" zoomScaleNormal="100" workbookViewId="0">
      <pane ySplit="4" topLeftCell="A38" activePane="bottomLeft" state="frozen"/>
      <selection/>
      <selection pane="bottomLeft" activeCell="C49" sqref="C49:D49"/>
    </sheetView>
  </sheetViews>
  <sheetFormatPr defaultColWidth="9" defaultRowHeight="14"/>
  <cols>
    <col min="1" max="1" width="5.66363636363636" style="3" customWidth="1"/>
    <col min="2" max="2" width="15.6636363636364" style="3" customWidth="1"/>
    <col min="3" max="3" width="33.2181818181818" style="3" customWidth="1"/>
    <col min="4" max="4" width="13.4454545454545" style="3" customWidth="1"/>
    <col min="5" max="5" width="5.66363636363636" style="3" customWidth="1"/>
    <col min="6" max="7" width="10.6636363636364" style="3" customWidth="1"/>
    <col min="8" max="12" width="10.6636363636364" style="98" customWidth="1"/>
    <col min="13" max="13" width="12.6636363636364" style="98" customWidth="1"/>
    <col min="14" max="16384" width="9" style="98"/>
  </cols>
  <sheetData>
    <row r="1" s="1" customFormat="1" ht="30" customHeight="1" spans="1:13">
      <c r="A1" s="99" t="s">
        <v>46</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ht="43.05" customHeight="1" spans="1:13">
      <c r="A5" s="102" t="s">
        <v>193</v>
      </c>
      <c r="B5" s="103" t="s">
        <v>327</v>
      </c>
      <c r="C5" s="103"/>
      <c r="D5" s="104"/>
      <c r="E5" s="104"/>
      <c r="F5" s="104">
        <f>SUM(F6:F9)</f>
        <v>6027.82</v>
      </c>
      <c r="G5" s="66"/>
      <c r="H5" s="105"/>
      <c r="I5" s="105"/>
      <c r="J5" s="105"/>
      <c r="K5" s="105"/>
      <c r="L5" s="42"/>
      <c r="M5" s="105"/>
    </row>
    <row r="6" s="2" customFormat="1" ht="79.95" customHeight="1" outlineLevel="1" spans="1:13">
      <c r="A6" s="24">
        <v>2</v>
      </c>
      <c r="B6" s="63" t="s">
        <v>665</v>
      </c>
      <c r="C6" s="63" t="s">
        <v>666</v>
      </c>
      <c r="D6" s="27" t="s">
        <v>197</v>
      </c>
      <c r="E6" s="66" t="s">
        <v>198</v>
      </c>
      <c r="F6" s="106">
        <v>4287.94</v>
      </c>
      <c r="G6" s="29"/>
      <c r="H6" s="29"/>
      <c r="I6" s="42">
        <f>SUM(G6:H6)*$I$4</f>
        <v>0</v>
      </c>
      <c r="J6" s="42">
        <f>SUM(G6:I6)*$J$4</f>
        <v>0</v>
      </c>
      <c r="K6" s="42">
        <f t="shared" ref="K6:K12" si="0">SUM(G6:J6)</f>
        <v>0</v>
      </c>
      <c r="L6" s="42">
        <f t="shared" ref="L6:L12" si="1">F6*K6</f>
        <v>0</v>
      </c>
      <c r="M6" s="91" t="s">
        <v>430</v>
      </c>
    </row>
    <row r="7" s="2" customFormat="1" ht="79.95" customHeight="1" outlineLevel="1" spans="1:13">
      <c r="A7" s="24">
        <v>3</v>
      </c>
      <c r="B7" s="63" t="s">
        <v>667</v>
      </c>
      <c r="C7" s="63" t="s">
        <v>668</v>
      </c>
      <c r="D7" s="27" t="s">
        <v>197</v>
      </c>
      <c r="E7" s="66" t="s">
        <v>198</v>
      </c>
      <c r="F7" s="106">
        <f>435.48+85.18</f>
        <v>520.66</v>
      </c>
      <c r="G7" s="29"/>
      <c r="H7" s="29"/>
      <c r="I7" s="42">
        <f>SUM(G7:H7)*$I$4</f>
        <v>0</v>
      </c>
      <c r="J7" s="42">
        <f>SUM(G7:I7)*$J$4</f>
        <v>0</v>
      </c>
      <c r="K7" s="42">
        <f t="shared" si="0"/>
        <v>0</v>
      </c>
      <c r="L7" s="42">
        <f t="shared" si="1"/>
        <v>0</v>
      </c>
      <c r="M7" s="154" t="s">
        <v>669</v>
      </c>
    </row>
    <row r="8" s="2" customFormat="1" ht="79.95" customHeight="1" outlineLevel="1" spans="1:13">
      <c r="A8" s="24">
        <v>4</v>
      </c>
      <c r="B8" s="63" t="s">
        <v>670</v>
      </c>
      <c r="C8" s="63" t="s">
        <v>671</v>
      </c>
      <c r="D8" s="27" t="s">
        <v>197</v>
      </c>
      <c r="E8" s="66" t="s">
        <v>198</v>
      </c>
      <c r="F8" s="106">
        <v>1107.75</v>
      </c>
      <c r="G8" s="29"/>
      <c r="H8" s="29"/>
      <c r="I8" s="42">
        <f>SUM(G8:H8)*$I$4</f>
        <v>0</v>
      </c>
      <c r="J8" s="42">
        <f>SUM(G8:I8)*$J$4</f>
        <v>0</v>
      </c>
      <c r="K8" s="42">
        <f t="shared" si="0"/>
        <v>0</v>
      </c>
      <c r="L8" s="42">
        <f t="shared" si="1"/>
        <v>0</v>
      </c>
      <c r="M8" s="154" t="s">
        <v>669</v>
      </c>
    </row>
    <row r="9" s="2" customFormat="1" ht="79.95" customHeight="1" outlineLevel="1" spans="1:13">
      <c r="A9" s="24">
        <v>5</v>
      </c>
      <c r="B9" s="63" t="s">
        <v>672</v>
      </c>
      <c r="C9" s="63" t="s">
        <v>673</v>
      </c>
      <c r="D9" s="69" t="s">
        <v>197</v>
      </c>
      <c r="E9" s="69" t="s">
        <v>198</v>
      </c>
      <c r="F9" s="106">
        <v>111.47</v>
      </c>
      <c r="G9" s="29"/>
      <c r="H9" s="29"/>
      <c r="I9" s="42">
        <f>SUM(G9:H9)*$I$4</f>
        <v>0</v>
      </c>
      <c r="J9" s="42">
        <f>SUM(G9:I9)*$J$4</f>
        <v>0</v>
      </c>
      <c r="K9" s="42">
        <f t="shared" si="0"/>
        <v>0</v>
      </c>
      <c r="L9" s="42">
        <f t="shared" si="1"/>
        <v>0</v>
      </c>
      <c r="M9" s="155" t="s">
        <v>674</v>
      </c>
    </row>
    <row r="10" s="2" customFormat="1" ht="36" outlineLevel="1" spans="1:13">
      <c r="A10" s="24">
        <v>6</v>
      </c>
      <c r="B10" s="63" t="s">
        <v>213</v>
      </c>
      <c r="C10" s="63" t="s">
        <v>675</v>
      </c>
      <c r="D10" s="27" t="s">
        <v>215</v>
      </c>
      <c r="E10" s="66" t="s">
        <v>211</v>
      </c>
      <c r="F10" s="64" t="e">
        <f>#REF!</f>
        <v>#REF!</v>
      </c>
      <c r="G10" s="29"/>
      <c r="H10" s="29"/>
      <c r="I10" s="42">
        <f>SUM(G10:H10)*$I$4</f>
        <v>0</v>
      </c>
      <c r="J10" s="42">
        <f>SUM(G10:I10)*$J$4</f>
        <v>0</v>
      </c>
      <c r="K10" s="42">
        <f t="shared" si="0"/>
        <v>0</v>
      </c>
      <c r="L10" s="42" t="e">
        <f t="shared" si="1"/>
        <v>#REF!</v>
      </c>
      <c r="M10" s="154" t="s">
        <v>676</v>
      </c>
    </row>
    <row r="11" s="2" customFormat="1" ht="36" outlineLevel="1" spans="1:13">
      <c r="A11" s="24">
        <v>7</v>
      </c>
      <c r="B11" s="63" t="s">
        <v>221</v>
      </c>
      <c r="C11" s="63" t="s">
        <v>677</v>
      </c>
      <c r="D11" s="69" t="s">
        <v>678</v>
      </c>
      <c r="E11" s="69" t="s">
        <v>178</v>
      </c>
      <c r="F11" s="64">
        <f>+(6.44+4.16+5.76+5.76+5.76+6.44+4.16)*0.34</f>
        <v>13.0832</v>
      </c>
      <c r="G11" s="29"/>
      <c r="H11" s="29"/>
      <c r="I11" s="42">
        <f>SUM(G11:H11)*$I$4</f>
        <v>0</v>
      </c>
      <c r="J11" s="42">
        <f>SUM(G11:I11)*$J$4</f>
        <v>0</v>
      </c>
      <c r="K11" s="42">
        <f t="shared" si="0"/>
        <v>0</v>
      </c>
      <c r="L11" s="42">
        <f t="shared" si="1"/>
        <v>0</v>
      </c>
      <c r="M11" s="29" t="s">
        <v>560</v>
      </c>
    </row>
    <row r="12" s="2" customFormat="1" ht="37.05" customHeight="1" outlineLevel="1" spans="1:13">
      <c r="A12" s="107">
        <v>8</v>
      </c>
      <c r="B12" s="108" t="s">
        <v>500</v>
      </c>
      <c r="C12" s="109" t="s">
        <v>679</v>
      </c>
      <c r="D12" s="108" t="s">
        <v>210</v>
      </c>
      <c r="E12" s="110" t="s">
        <v>211</v>
      </c>
      <c r="F12" s="111" t="e">
        <f>#REF!</f>
        <v>#REF!</v>
      </c>
      <c r="G12" s="112"/>
      <c r="H12" s="112"/>
      <c r="I12" s="156">
        <f>SUM(G12:H12)*$I$4</f>
        <v>0</v>
      </c>
      <c r="J12" s="156">
        <f>SUM(G12:I12)*$J$4</f>
        <v>0</v>
      </c>
      <c r="K12" s="156">
        <f t="shared" si="0"/>
        <v>0</v>
      </c>
      <c r="L12" s="156" t="e">
        <f t="shared" si="1"/>
        <v>#REF!</v>
      </c>
      <c r="M12" s="157" t="s">
        <v>680</v>
      </c>
    </row>
    <row r="13" s="2" customFormat="1" ht="43.05" customHeight="1" spans="1:13">
      <c r="A13" s="102" t="s">
        <v>225</v>
      </c>
      <c r="B13" s="103" t="s">
        <v>336</v>
      </c>
      <c r="C13" s="103"/>
      <c r="D13" s="104"/>
      <c r="E13" s="104"/>
      <c r="F13" s="104"/>
      <c r="G13" s="66"/>
      <c r="H13" s="105"/>
      <c r="I13" s="105"/>
      <c r="J13" s="105"/>
      <c r="K13" s="105"/>
      <c r="L13" s="42"/>
      <c r="M13" s="105"/>
    </row>
    <row r="14" s="2" customFormat="1" ht="85.05" customHeight="1" outlineLevel="1" spans="1:13">
      <c r="A14" s="24">
        <v>1</v>
      </c>
      <c r="B14" s="70" t="s">
        <v>681</v>
      </c>
      <c r="C14" s="70" t="s">
        <v>682</v>
      </c>
      <c r="D14" s="27" t="s">
        <v>229</v>
      </c>
      <c r="E14" s="66" t="s">
        <v>211</v>
      </c>
      <c r="F14" s="64">
        <f>+(5.788+12.03+8.83+12.03+8.93+8.604+3.609+3.33+92.53-28.09+18.12+59.66+1063.07-577.78+13.61+6.69+13.708+8.284+12.5+315.41-95.796+111.02+5.03+32.48+14.626+19.477+17.07+7.75+8.436+13.057+1411.49-789.86+101.23-57.96+13.553+16.54+17.635+62.44-32.34+20.7+4.859+9.41+417.1-213.76+13.331+17.16+97.377-64.395+31.35+5.682+27.881-16.12+4.859+59.95+10.511+(5.086+4.25+3.56+3.56+3.56+3.56+3.56+3.56+3.56+3.56+3.56)+(22.537-11.139)+2.806+12.54+119.9+7.22+21.02+(5.086+4.25+3.56+3.56+3.56+3.56+3.56+3.56+3.56+3.56+3.56)*2+(22.537-11.139)*2+5.61+(26.062-15.6)*2)+33.42</f>
        <v>2744.398</v>
      </c>
      <c r="G14" s="29"/>
      <c r="H14" s="29"/>
      <c r="I14" s="42">
        <f>SUM(G14:H14)*$I$4</f>
        <v>0</v>
      </c>
      <c r="J14" s="42">
        <f>SUM(G14:I14)*$J$4</f>
        <v>0</v>
      </c>
      <c r="K14" s="42">
        <f>SUM(G14:J14)</f>
        <v>0</v>
      </c>
      <c r="L14" s="42">
        <f>F14*K14</f>
        <v>0</v>
      </c>
      <c r="M14" s="91" t="s">
        <v>418</v>
      </c>
    </row>
    <row r="15" s="2" customFormat="1" ht="85.05" customHeight="1" outlineLevel="1" spans="1:13">
      <c r="A15" s="24">
        <v>3</v>
      </c>
      <c r="B15" s="70" t="s">
        <v>683</v>
      </c>
      <c r="C15" s="70" t="s">
        <v>684</v>
      </c>
      <c r="D15" s="27" t="s">
        <v>233</v>
      </c>
      <c r="E15" s="66" t="s">
        <v>211</v>
      </c>
      <c r="F15" s="64">
        <v>3081.41</v>
      </c>
      <c r="G15" s="29"/>
      <c r="H15" s="29"/>
      <c r="I15" s="42">
        <f>SUM(G15:H15)*$I$4</f>
        <v>0</v>
      </c>
      <c r="J15" s="42">
        <f>SUM(G15:I15)*$J$4</f>
        <v>0</v>
      </c>
      <c r="K15" s="42">
        <f t="shared" ref="K15:K22" si="2">SUM(G15:J15)</f>
        <v>0</v>
      </c>
      <c r="L15" s="42">
        <f t="shared" ref="L15:L22" si="3">F15*K15</f>
        <v>0</v>
      </c>
      <c r="M15" s="29" t="s">
        <v>419</v>
      </c>
    </row>
    <row r="16" s="2" customFormat="1" ht="108" outlineLevel="1" spans="1:13">
      <c r="A16" s="24">
        <v>4</v>
      </c>
      <c r="B16" s="70" t="s">
        <v>685</v>
      </c>
      <c r="C16" s="70" t="s">
        <v>686</v>
      </c>
      <c r="D16" s="27" t="s">
        <v>233</v>
      </c>
      <c r="E16" s="66" t="s">
        <v>211</v>
      </c>
      <c r="F16" s="64">
        <f>629.72*1.15</f>
        <v>724.178</v>
      </c>
      <c r="G16" s="29"/>
      <c r="H16" s="29"/>
      <c r="I16" s="42">
        <f>SUM(G16:H16)*$I$4</f>
        <v>0</v>
      </c>
      <c r="J16" s="42">
        <f>SUM(G16:I16)*$J$4</f>
        <v>0</v>
      </c>
      <c r="K16" s="42">
        <f t="shared" si="2"/>
        <v>0</v>
      </c>
      <c r="L16" s="42">
        <f t="shared" si="3"/>
        <v>0</v>
      </c>
      <c r="M16" s="29" t="s">
        <v>419</v>
      </c>
    </row>
    <row r="17" s="2" customFormat="1" ht="85.05" customHeight="1" outlineLevel="1" spans="1:13">
      <c r="A17" s="24">
        <v>5</v>
      </c>
      <c r="B17" s="113" t="s">
        <v>687</v>
      </c>
      <c r="C17" s="114" t="s">
        <v>238</v>
      </c>
      <c r="D17" s="115" t="s">
        <v>233</v>
      </c>
      <c r="E17" s="116" t="s">
        <v>211</v>
      </c>
      <c r="F17" s="64">
        <v>86.55</v>
      </c>
      <c r="G17" s="29"/>
      <c r="H17" s="29"/>
      <c r="I17" s="42">
        <f>SUM(G17:H17)*$I$4</f>
        <v>0</v>
      </c>
      <c r="J17" s="42">
        <f>SUM(G17:I17)*$J$4</f>
        <v>0</v>
      </c>
      <c r="K17" s="42">
        <f t="shared" si="2"/>
        <v>0</v>
      </c>
      <c r="L17" s="42">
        <f t="shared" si="3"/>
        <v>0</v>
      </c>
      <c r="M17" s="29" t="s">
        <v>419</v>
      </c>
    </row>
    <row r="18" s="97" customFormat="1" ht="85.05" customHeight="1" outlineLevel="1" spans="1:13">
      <c r="A18" s="24">
        <v>11</v>
      </c>
      <c r="B18" s="70" t="s">
        <v>688</v>
      </c>
      <c r="C18" s="70" t="s">
        <v>689</v>
      </c>
      <c r="D18" s="27" t="s">
        <v>229</v>
      </c>
      <c r="E18" s="66" t="s">
        <v>211</v>
      </c>
      <c r="F18" s="64">
        <v>640.21</v>
      </c>
      <c r="G18" s="29"/>
      <c r="H18" s="29"/>
      <c r="I18" s="42">
        <f>SUM(G18:H18)*$I$4</f>
        <v>0</v>
      </c>
      <c r="J18" s="42">
        <f>SUM(G18:I18)*$J$4</f>
        <v>0</v>
      </c>
      <c r="K18" s="42">
        <f t="shared" si="2"/>
        <v>0</v>
      </c>
      <c r="L18" s="42">
        <f t="shared" si="3"/>
        <v>0</v>
      </c>
      <c r="M18" s="91" t="s">
        <v>438</v>
      </c>
    </row>
    <row r="19" s="2" customFormat="1" ht="85.05" customHeight="1" outlineLevel="1" spans="1:13">
      <c r="A19" s="24">
        <v>12</v>
      </c>
      <c r="B19" s="70" t="s">
        <v>690</v>
      </c>
      <c r="C19" s="70" t="s">
        <v>691</v>
      </c>
      <c r="D19" s="27" t="s">
        <v>229</v>
      </c>
      <c r="E19" s="66" t="s">
        <v>211</v>
      </c>
      <c r="F19" s="64">
        <v>1728.6</v>
      </c>
      <c r="G19" s="29"/>
      <c r="H19" s="29"/>
      <c r="I19" s="42">
        <f>SUM(G19:H19)*$I$4</f>
        <v>0</v>
      </c>
      <c r="J19" s="42">
        <f>SUM(G19:I19)*$J$4</f>
        <v>0</v>
      </c>
      <c r="K19" s="42">
        <f t="shared" si="2"/>
        <v>0</v>
      </c>
      <c r="L19" s="42">
        <f t="shared" si="3"/>
        <v>0</v>
      </c>
      <c r="M19" s="91" t="s">
        <v>438</v>
      </c>
    </row>
    <row r="20" s="2" customFormat="1" ht="85.05" customHeight="1" outlineLevel="1" spans="1:13">
      <c r="A20" s="24">
        <v>13</v>
      </c>
      <c r="B20" s="70" t="s">
        <v>692</v>
      </c>
      <c r="C20" s="70" t="s">
        <v>693</v>
      </c>
      <c r="D20" s="27" t="s">
        <v>229</v>
      </c>
      <c r="E20" s="66" t="s">
        <v>211</v>
      </c>
      <c r="F20" s="64">
        <v>1448</v>
      </c>
      <c r="G20" s="29"/>
      <c r="H20" s="29"/>
      <c r="I20" s="42">
        <f>SUM(G20:H20)*$I$4</f>
        <v>0</v>
      </c>
      <c r="J20" s="42">
        <f>SUM(G20:I20)*$J$4</f>
        <v>0</v>
      </c>
      <c r="K20" s="42">
        <f t="shared" si="2"/>
        <v>0</v>
      </c>
      <c r="L20" s="42">
        <f t="shared" si="3"/>
        <v>0</v>
      </c>
      <c r="M20" s="91" t="s">
        <v>438</v>
      </c>
    </row>
    <row r="21" s="2" customFormat="1" ht="60" outlineLevel="1" spans="1:13">
      <c r="A21" s="24">
        <v>15</v>
      </c>
      <c r="B21" s="113" t="s">
        <v>247</v>
      </c>
      <c r="C21" s="71" t="s">
        <v>248</v>
      </c>
      <c r="D21" s="117" t="s">
        <v>249</v>
      </c>
      <c r="E21" s="66" t="s">
        <v>175</v>
      </c>
      <c r="F21" s="106">
        <v>357.05</v>
      </c>
      <c r="G21" s="29"/>
      <c r="H21" s="29"/>
      <c r="I21" s="42">
        <f>SUM(G21:H21)*$I$4</f>
        <v>0</v>
      </c>
      <c r="J21" s="42">
        <f>SUM(G21:I21)*$J$4</f>
        <v>0</v>
      </c>
      <c r="K21" s="42">
        <f t="shared" si="2"/>
        <v>0</v>
      </c>
      <c r="L21" s="42">
        <f t="shared" si="3"/>
        <v>0</v>
      </c>
      <c r="M21" s="91" t="s">
        <v>421</v>
      </c>
    </row>
    <row r="22" s="2" customFormat="1" ht="46.05" customHeight="1" outlineLevel="1" spans="1:13">
      <c r="A22" s="24">
        <v>16</v>
      </c>
      <c r="B22" s="113" t="s">
        <v>251</v>
      </c>
      <c r="C22" s="72" t="s">
        <v>252</v>
      </c>
      <c r="D22" s="117" t="s">
        <v>249</v>
      </c>
      <c r="E22" s="66" t="s">
        <v>175</v>
      </c>
      <c r="F22" s="106">
        <v>289.89</v>
      </c>
      <c r="G22" s="29"/>
      <c r="H22" s="29"/>
      <c r="I22" s="42">
        <f>SUM(G22:H22)*$I$4</f>
        <v>0</v>
      </c>
      <c r="J22" s="42">
        <f>SUM(G22:I22)*$J$4</f>
        <v>0</v>
      </c>
      <c r="K22" s="42">
        <f t="shared" si="2"/>
        <v>0</v>
      </c>
      <c r="L22" s="42">
        <f t="shared" si="3"/>
        <v>0</v>
      </c>
      <c r="M22" s="91" t="s">
        <v>421</v>
      </c>
    </row>
    <row r="23" s="2" customFormat="1" ht="43.05" customHeight="1" spans="1:13">
      <c r="A23" s="102" t="s">
        <v>254</v>
      </c>
      <c r="B23" s="103" t="s">
        <v>345</v>
      </c>
      <c r="C23" s="103"/>
      <c r="D23" s="104"/>
      <c r="E23" s="104"/>
      <c r="F23" s="104"/>
      <c r="G23" s="66"/>
      <c r="H23" s="105"/>
      <c r="I23" s="105"/>
      <c r="J23" s="105"/>
      <c r="K23" s="105"/>
      <c r="L23" s="42"/>
      <c r="M23" s="105"/>
    </row>
    <row r="24" s="2" customFormat="1" ht="57" customHeight="1" outlineLevel="1" spans="1:13">
      <c r="A24" s="24">
        <v>1</v>
      </c>
      <c r="B24" s="25" t="s">
        <v>256</v>
      </c>
      <c r="C24" s="118" t="s">
        <v>257</v>
      </c>
      <c r="D24" s="27" t="s">
        <v>197</v>
      </c>
      <c r="E24" s="66" t="s">
        <v>198</v>
      </c>
      <c r="F24" s="119">
        <f>817.39+1617.8+1686.23+583.16*2+1380.3</f>
        <v>6668.04</v>
      </c>
      <c r="G24" s="29"/>
      <c r="H24" s="29"/>
      <c r="I24" s="42">
        <f>SUM(G24:H24)*$I$4</f>
        <v>0</v>
      </c>
      <c r="J24" s="42">
        <f>SUM(G24:I24)*$J$4</f>
        <v>0</v>
      </c>
      <c r="K24" s="42">
        <f t="shared" ref="K24:K41" si="4">SUM(G24:J24)</f>
        <v>0</v>
      </c>
      <c r="L24" s="42">
        <f t="shared" ref="L24:L41" si="5">F24*K24</f>
        <v>0</v>
      </c>
      <c r="M24" s="29" t="s">
        <v>419</v>
      </c>
    </row>
    <row r="25" s="2" customFormat="1" ht="57" customHeight="1" outlineLevel="1" spans="1:13">
      <c r="A25" s="24">
        <v>2</v>
      </c>
      <c r="B25" s="25" t="s">
        <v>694</v>
      </c>
      <c r="C25" s="118" t="s">
        <v>257</v>
      </c>
      <c r="D25" s="27" t="s">
        <v>197</v>
      </c>
      <c r="E25" s="66" t="s">
        <v>198</v>
      </c>
      <c r="F25" s="119">
        <f>1530.18+936.9+884.83+563.64*2-1380.3</f>
        <v>3098.89</v>
      </c>
      <c r="G25" s="29"/>
      <c r="H25" s="29"/>
      <c r="I25" s="42">
        <f>SUM(G25:H25)*$I$4</f>
        <v>0</v>
      </c>
      <c r="J25" s="42">
        <f>SUM(G25:I25)*$J$4</f>
        <v>0</v>
      </c>
      <c r="K25" s="42">
        <f t="shared" si="4"/>
        <v>0</v>
      </c>
      <c r="L25" s="42">
        <f t="shared" si="5"/>
        <v>0</v>
      </c>
      <c r="M25" s="29" t="s">
        <v>419</v>
      </c>
    </row>
    <row r="26" s="2" customFormat="1" ht="88.95" customHeight="1" outlineLevel="1" spans="1:13">
      <c r="A26" s="24">
        <v>3</v>
      </c>
      <c r="B26" s="25" t="s">
        <v>695</v>
      </c>
      <c r="C26" s="63" t="s">
        <v>696</v>
      </c>
      <c r="D26" s="27" t="s">
        <v>197</v>
      </c>
      <c r="E26" s="66" t="s">
        <v>198</v>
      </c>
      <c r="F26" s="119">
        <f>1077.33+1070.91+612.79+150*2</f>
        <v>3061.03</v>
      </c>
      <c r="G26" s="29"/>
      <c r="H26" s="29"/>
      <c r="I26" s="42">
        <f>SUM(G26:H26)*$I$4</f>
        <v>0</v>
      </c>
      <c r="J26" s="42">
        <f>SUM(G26:I26)*$J$4</f>
        <v>0</v>
      </c>
      <c r="K26" s="42">
        <f t="shared" si="4"/>
        <v>0</v>
      </c>
      <c r="L26" s="42">
        <f t="shared" si="5"/>
        <v>0</v>
      </c>
      <c r="M26" s="29" t="s">
        <v>669</v>
      </c>
    </row>
    <row r="27" s="3" customFormat="1" ht="100.05" customHeight="1" outlineLevel="1" spans="1:13">
      <c r="A27" s="24">
        <v>4</v>
      </c>
      <c r="B27" s="25" t="s">
        <v>697</v>
      </c>
      <c r="C27" s="63" t="s">
        <v>698</v>
      </c>
      <c r="D27" s="27" t="s">
        <v>197</v>
      </c>
      <c r="E27" s="66" t="s">
        <v>198</v>
      </c>
      <c r="F27" s="119">
        <v>225.82</v>
      </c>
      <c r="G27" s="29"/>
      <c r="H27" s="29"/>
      <c r="I27" s="42">
        <f>SUM(G27:H27)*$I$4</f>
        <v>0</v>
      </c>
      <c r="J27" s="42">
        <f>SUM(G27:I27)*$J$4</f>
        <v>0</v>
      </c>
      <c r="K27" s="42">
        <f t="shared" si="4"/>
        <v>0</v>
      </c>
      <c r="L27" s="42">
        <f t="shared" si="5"/>
        <v>0</v>
      </c>
      <c r="M27" s="29" t="s">
        <v>669</v>
      </c>
    </row>
    <row r="28" s="3" customFormat="1" ht="111" customHeight="1" outlineLevel="1" spans="1:13">
      <c r="A28" s="24">
        <v>5</v>
      </c>
      <c r="B28" s="25" t="s">
        <v>699</v>
      </c>
      <c r="C28" s="63" t="s">
        <v>700</v>
      </c>
      <c r="D28" s="27" t="s">
        <v>197</v>
      </c>
      <c r="E28" s="66" t="s">
        <v>198</v>
      </c>
      <c r="F28" s="119">
        <f>290.52+353.51+608.85+259.54*2-40.58</f>
        <v>1731.38</v>
      </c>
      <c r="G28" s="29"/>
      <c r="H28" s="29"/>
      <c r="I28" s="42">
        <f>SUM(G28:H28)*$I$4</f>
        <v>0</v>
      </c>
      <c r="J28" s="42">
        <f>SUM(G28:I28)*$J$4</f>
        <v>0</v>
      </c>
      <c r="K28" s="42">
        <f t="shared" si="4"/>
        <v>0</v>
      </c>
      <c r="L28" s="42">
        <f t="shared" si="5"/>
        <v>0</v>
      </c>
      <c r="M28" s="29" t="s">
        <v>669</v>
      </c>
    </row>
    <row r="29" s="3" customFormat="1" ht="91.95" customHeight="1" outlineLevel="1" spans="1:13">
      <c r="A29" s="24">
        <v>6</v>
      </c>
      <c r="B29" s="25" t="s">
        <v>701</v>
      </c>
      <c r="C29" s="63" t="s">
        <v>702</v>
      </c>
      <c r="D29" s="27" t="s">
        <v>197</v>
      </c>
      <c r="E29" s="66" t="s">
        <v>198</v>
      </c>
      <c r="F29" s="119">
        <v>51.2</v>
      </c>
      <c r="G29" s="29"/>
      <c r="H29" s="29"/>
      <c r="I29" s="42">
        <f>SUM(G29:H29)*$I$4</f>
        <v>0</v>
      </c>
      <c r="J29" s="42">
        <f>SUM(G29:I29)*$J$4</f>
        <v>0</v>
      </c>
      <c r="K29" s="42">
        <f t="shared" si="4"/>
        <v>0</v>
      </c>
      <c r="L29" s="42">
        <f t="shared" si="5"/>
        <v>0</v>
      </c>
      <c r="M29" s="29" t="s">
        <v>669</v>
      </c>
    </row>
    <row r="30" s="3" customFormat="1" ht="82.5" customHeight="1" outlineLevel="1" spans="1:13">
      <c r="A30" s="107">
        <v>7</v>
      </c>
      <c r="B30" s="120" t="s">
        <v>262</v>
      </c>
      <c r="C30" s="121" t="s">
        <v>703</v>
      </c>
      <c r="D30" s="122" t="s">
        <v>264</v>
      </c>
      <c r="E30" s="122" t="s">
        <v>265</v>
      </c>
      <c r="F30" s="123">
        <f>17+14+9+4*2</f>
        <v>48</v>
      </c>
      <c r="G30" s="112"/>
      <c r="H30" s="112"/>
      <c r="I30" s="156">
        <f>SUM(G30:H30)*$I$4</f>
        <v>0</v>
      </c>
      <c r="J30" s="156">
        <f>SUM(G30:I30)*$J$4</f>
        <v>0</v>
      </c>
      <c r="K30" s="156">
        <f t="shared" si="4"/>
        <v>0</v>
      </c>
      <c r="L30" s="156">
        <f t="shared" si="5"/>
        <v>0</v>
      </c>
      <c r="M30" s="158" t="s">
        <v>426</v>
      </c>
    </row>
    <row r="31" s="3" customFormat="1" ht="85.05" customHeight="1" outlineLevel="1" spans="1:13">
      <c r="A31" s="107">
        <v>8</v>
      </c>
      <c r="B31" s="124" t="s">
        <v>704</v>
      </c>
      <c r="C31" s="124" t="s">
        <v>705</v>
      </c>
      <c r="D31" s="125" t="s">
        <v>197</v>
      </c>
      <c r="E31" s="126" t="s">
        <v>198</v>
      </c>
      <c r="F31" s="123">
        <f>130.07+221.5+111.55+240.12</f>
        <v>703.24</v>
      </c>
      <c r="G31" s="112"/>
      <c r="H31" s="112"/>
      <c r="I31" s="156">
        <f>SUM(G31:H31)*$I$4</f>
        <v>0</v>
      </c>
      <c r="J31" s="156">
        <f>SUM(G31:I31)*$J$4</f>
        <v>0</v>
      </c>
      <c r="K31" s="156">
        <f t="shared" si="4"/>
        <v>0</v>
      </c>
      <c r="L31" s="156">
        <f t="shared" si="5"/>
        <v>0</v>
      </c>
      <c r="M31" s="158" t="s">
        <v>426</v>
      </c>
    </row>
    <row r="32" s="3" customFormat="1" ht="85.05" customHeight="1" outlineLevel="1" spans="1:13">
      <c r="A32" s="107">
        <v>9</v>
      </c>
      <c r="B32" s="124" t="s">
        <v>706</v>
      </c>
      <c r="C32" s="124" t="s">
        <v>705</v>
      </c>
      <c r="D32" s="125" t="s">
        <v>197</v>
      </c>
      <c r="E32" s="126" t="s">
        <v>198</v>
      </c>
      <c r="F32" s="123">
        <f>18.53+21.42+127.95</f>
        <v>167.9</v>
      </c>
      <c r="G32" s="112"/>
      <c r="H32" s="112"/>
      <c r="I32" s="156">
        <f>SUM(G32:H32)*$I$4</f>
        <v>0</v>
      </c>
      <c r="J32" s="156">
        <f>SUM(G32:I32)*$J$4</f>
        <v>0</v>
      </c>
      <c r="K32" s="156">
        <f t="shared" si="4"/>
        <v>0</v>
      </c>
      <c r="L32" s="156">
        <f t="shared" si="5"/>
        <v>0</v>
      </c>
      <c r="M32" s="158" t="s">
        <v>426</v>
      </c>
    </row>
    <row r="33" s="3" customFormat="1" ht="78" customHeight="1" outlineLevel="1" spans="1:13">
      <c r="A33" s="107">
        <v>10</v>
      </c>
      <c r="B33" s="124" t="s">
        <v>707</v>
      </c>
      <c r="C33" s="124" t="s">
        <v>705</v>
      </c>
      <c r="D33" s="125" t="s">
        <v>197</v>
      </c>
      <c r="E33" s="126" t="s">
        <v>198</v>
      </c>
      <c r="F33" s="123">
        <f>172.55+407.64+67.45+116.01+59.65*2</f>
        <v>882.95</v>
      </c>
      <c r="G33" s="112"/>
      <c r="H33" s="112"/>
      <c r="I33" s="156">
        <f>SUM(G33:H33)*$I$4</f>
        <v>0</v>
      </c>
      <c r="J33" s="156">
        <f>SUM(G33:I33)*$J$4</f>
        <v>0</v>
      </c>
      <c r="K33" s="156">
        <f t="shared" si="4"/>
        <v>0</v>
      </c>
      <c r="L33" s="156">
        <f t="shared" si="5"/>
        <v>0</v>
      </c>
      <c r="M33" s="158" t="s">
        <v>708</v>
      </c>
    </row>
    <row r="34" s="3" customFormat="1" ht="85.05" customHeight="1" outlineLevel="1" spans="1:13">
      <c r="A34" s="107">
        <v>11</v>
      </c>
      <c r="B34" s="124" t="s">
        <v>709</v>
      </c>
      <c r="C34" s="124" t="s">
        <v>705</v>
      </c>
      <c r="D34" s="125" t="s">
        <v>197</v>
      </c>
      <c r="E34" s="126" t="s">
        <v>198</v>
      </c>
      <c r="F34" s="123">
        <f>1.24*5</f>
        <v>6.2</v>
      </c>
      <c r="G34" s="112"/>
      <c r="H34" s="112"/>
      <c r="I34" s="156">
        <f>SUM(G34:H34)*$I$4</f>
        <v>0</v>
      </c>
      <c r="J34" s="156">
        <f>SUM(G34:I34)*$J$4</f>
        <v>0</v>
      </c>
      <c r="K34" s="156">
        <f t="shared" si="4"/>
        <v>0</v>
      </c>
      <c r="L34" s="156">
        <f t="shared" si="5"/>
        <v>0</v>
      </c>
      <c r="M34" s="158" t="s">
        <v>708</v>
      </c>
    </row>
    <row r="35" s="3" customFormat="1" ht="85.05" customHeight="1" outlineLevel="1" spans="1:13">
      <c r="A35" s="24">
        <v>12</v>
      </c>
      <c r="B35" s="25" t="s">
        <v>281</v>
      </c>
      <c r="C35" s="25" t="s">
        <v>710</v>
      </c>
      <c r="D35" s="27" t="s">
        <v>197</v>
      </c>
      <c r="E35" s="127" t="s">
        <v>198</v>
      </c>
      <c r="F35" s="119">
        <f>28.87+62.99+84.03+89.34*2-240.12</f>
        <v>114.45</v>
      </c>
      <c r="G35" s="29"/>
      <c r="H35" s="29"/>
      <c r="I35" s="42">
        <f>SUM(G35:H35)*$I$4</f>
        <v>0</v>
      </c>
      <c r="J35" s="42">
        <f>SUM(G35:I35)*$J$4</f>
        <v>0</v>
      </c>
      <c r="K35" s="42">
        <f t="shared" si="4"/>
        <v>0</v>
      </c>
      <c r="L35" s="42">
        <f t="shared" si="5"/>
        <v>0</v>
      </c>
      <c r="M35" s="29" t="s">
        <v>441</v>
      </c>
    </row>
    <row r="36" s="2" customFormat="1" ht="61.05" customHeight="1" outlineLevel="1" spans="1:13">
      <c r="A36" s="24">
        <v>14</v>
      </c>
      <c r="B36" s="128" t="s">
        <v>711</v>
      </c>
      <c r="C36" s="129" t="s">
        <v>712</v>
      </c>
      <c r="D36" s="130" t="s">
        <v>273</v>
      </c>
      <c r="E36" s="131" t="s">
        <v>175</v>
      </c>
      <c r="F36" s="119">
        <f>845.61+926.25+648.99+198.33*2-923.89</f>
        <v>1893.62</v>
      </c>
      <c r="G36" s="29"/>
      <c r="H36" s="29"/>
      <c r="I36" s="42">
        <f>SUM(G36:H36)*$I$4</f>
        <v>0</v>
      </c>
      <c r="J36" s="42">
        <f>SUM(G36:I36)*$J$4</f>
        <v>0</v>
      </c>
      <c r="K36" s="42">
        <f t="shared" si="4"/>
        <v>0</v>
      </c>
      <c r="L36" s="42">
        <f t="shared" si="5"/>
        <v>0</v>
      </c>
      <c r="M36" s="29" t="s">
        <v>669</v>
      </c>
    </row>
    <row r="37" s="2" customFormat="1" ht="58.05" customHeight="1" outlineLevel="1" spans="1:13">
      <c r="A37" s="24">
        <v>15</v>
      </c>
      <c r="B37" s="128" t="s">
        <v>713</v>
      </c>
      <c r="C37" s="129" t="s">
        <v>714</v>
      </c>
      <c r="D37" s="130" t="s">
        <v>273</v>
      </c>
      <c r="E37" s="131" t="s">
        <v>175</v>
      </c>
      <c r="F37" s="119">
        <v>923.89</v>
      </c>
      <c r="G37" s="29"/>
      <c r="H37" s="29"/>
      <c r="I37" s="42">
        <f>SUM(G37:H37)*$I$4</f>
        <v>0</v>
      </c>
      <c r="J37" s="42">
        <f>SUM(G37:I37)*$J$4</f>
        <v>0</v>
      </c>
      <c r="K37" s="42">
        <f t="shared" si="4"/>
        <v>0</v>
      </c>
      <c r="L37" s="42">
        <f t="shared" si="5"/>
        <v>0</v>
      </c>
      <c r="M37" s="92" t="s">
        <v>715</v>
      </c>
    </row>
    <row r="38" s="2" customFormat="1" ht="70.95" customHeight="1" outlineLevel="1" spans="1:13">
      <c r="A38" s="24">
        <v>16</v>
      </c>
      <c r="B38" s="128" t="s">
        <v>400</v>
      </c>
      <c r="C38" s="129" t="s">
        <v>716</v>
      </c>
      <c r="D38" s="130" t="s">
        <v>349</v>
      </c>
      <c r="E38" s="131" t="s">
        <v>198</v>
      </c>
      <c r="F38" s="119">
        <v>312.05</v>
      </c>
      <c r="G38" s="29"/>
      <c r="H38" s="29"/>
      <c r="I38" s="42">
        <f>SUM(G38:H38)*$I$4</f>
        <v>0</v>
      </c>
      <c r="J38" s="42">
        <f>SUM(G38:I38)*$J$4</f>
        <v>0</v>
      </c>
      <c r="K38" s="42">
        <f t="shared" si="4"/>
        <v>0</v>
      </c>
      <c r="L38" s="42">
        <f t="shared" si="5"/>
        <v>0</v>
      </c>
      <c r="M38" s="29" t="s">
        <v>428</v>
      </c>
    </row>
    <row r="39" s="97" customFormat="1" ht="61" customHeight="1" outlineLevel="1" spans="1:13">
      <c r="A39" s="132">
        <v>17</v>
      </c>
      <c r="B39" s="133" t="s">
        <v>717</v>
      </c>
      <c r="C39" s="134" t="s">
        <v>718</v>
      </c>
      <c r="D39" s="135" t="s">
        <v>269</v>
      </c>
      <c r="E39" s="136" t="s">
        <v>198</v>
      </c>
      <c r="F39" s="137">
        <v>38.76</v>
      </c>
      <c r="G39" s="138"/>
      <c r="H39" s="138"/>
      <c r="I39" s="159">
        <f>SUM(G39:H39)*$I$4</f>
        <v>0</v>
      </c>
      <c r="J39" s="159">
        <f>SUM(G39:I39)*$J$4</f>
        <v>0</v>
      </c>
      <c r="K39" s="159">
        <f t="shared" si="4"/>
        <v>0</v>
      </c>
      <c r="L39" s="159">
        <f t="shared" si="5"/>
        <v>0</v>
      </c>
      <c r="M39" s="29" t="s">
        <v>719</v>
      </c>
    </row>
    <row r="40" s="2" customFormat="1" ht="61" customHeight="1" outlineLevel="1" spans="1:13">
      <c r="A40" s="107">
        <v>18</v>
      </c>
      <c r="B40" s="139" t="s">
        <v>720</v>
      </c>
      <c r="C40" s="140" t="s">
        <v>721</v>
      </c>
      <c r="D40" s="141" t="s">
        <v>273</v>
      </c>
      <c r="E40" s="142" t="s">
        <v>175</v>
      </c>
      <c r="F40" s="123">
        <v>12.2</v>
      </c>
      <c r="G40" s="112"/>
      <c r="H40" s="112"/>
      <c r="I40" s="156">
        <f>SUM(G40:H40)*$I$4</f>
        <v>0</v>
      </c>
      <c r="J40" s="156">
        <f>SUM(G40:I40)*$J$4</f>
        <v>0</v>
      </c>
      <c r="K40" s="156">
        <f t="shared" si="4"/>
        <v>0</v>
      </c>
      <c r="L40" s="156">
        <f t="shared" si="5"/>
        <v>0</v>
      </c>
      <c r="M40" s="29" t="s">
        <v>722</v>
      </c>
    </row>
    <row r="41" s="3" customFormat="1" ht="27" customHeight="1" outlineLevel="1" spans="1:13">
      <c r="A41" s="107">
        <v>23</v>
      </c>
      <c r="B41" s="143" t="s">
        <v>290</v>
      </c>
      <c r="C41" s="144" t="s">
        <v>723</v>
      </c>
      <c r="D41" s="145" t="s">
        <v>292</v>
      </c>
      <c r="E41" s="146" t="s">
        <v>138</v>
      </c>
      <c r="F41" s="147">
        <v>20</v>
      </c>
      <c r="G41" s="112"/>
      <c r="H41" s="112"/>
      <c r="I41" s="156">
        <f>SUM(G41:H41)*$I$4</f>
        <v>0</v>
      </c>
      <c r="J41" s="156">
        <f>SUM(G41:I41)*$J$4</f>
        <v>0</v>
      </c>
      <c r="K41" s="156">
        <f t="shared" si="4"/>
        <v>0</v>
      </c>
      <c r="L41" s="156">
        <f t="shared" si="5"/>
        <v>0</v>
      </c>
      <c r="M41" s="112"/>
    </row>
    <row r="42" ht="33" customHeight="1" spans="1:13">
      <c r="A42" s="148" t="s">
        <v>293</v>
      </c>
      <c r="B42" s="149" t="s">
        <v>294</v>
      </c>
      <c r="C42" s="149"/>
      <c r="D42" s="150"/>
      <c r="E42" s="150"/>
      <c r="F42" s="150"/>
      <c r="G42" s="148"/>
      <c r="H42" s="151"/>
      <c r="I42" s="151"/>
      <c r="J42" s="151"/>
      <c r="K42" s="151"/>
      <c r="L42" s="160"/>
      <c r="M42" s="151"/>
    </row>
    <row r="43" s="3" customFormat="1" ht="25.95" customHeight="1" outlineLevel="1" spans="1:13">
      <c r="A43" s="24">
        <v>2</v>
      </c>
      <c r="B43" s="27" t="s">
        <v>295</v>
      </c>
      <c r="C43" s="27" t="s">
        <v>296</v>
      </c>
      <c r="D43" s="27" t="s">
        <v>297</v>
      </c>
      <c r="E43" s="66" t="s">
        <v>198</v>
      </c>
      <c r="F43" s="119">
        <v>9630.48</v>
      </c>
      <c r="G43" s="29"/>
      <c r="H43" s="29"/>
      <c r="I43" s="42">
        <f>SUM(G43:H43)*$I$4</f>
        <v>0</v>
      </c>
      <c r="J43" s="42">
        <f>SUM(G43:I43)*$J$4</f>
        <v>0</v>
      </c>
      <c r="K43" s="42">
        <f>SUM(G43:J43)</f>
        <v>0</v>
      </c>
      <c r="L43" s="42">
        <f t="shared" ref="L43:L45" si="6">F43*K43</f>
        <v>0</v>
      </c>
      <c r="M43" s="91" t="s">
        <v>298</v>
      </c>
    </row>
    <row r="44" s="3" customFormat="1" ht="25.95" customHeight="1" outlineLevel="1" spans="1:13">
      <c r="A44" s="24">
        <v>3</v>
      </c>
      <c r="B44" s="27" t="s">
        <v>299</v>
      </c>
      <c r="C44" s="27" t="s">
        <v>300</v>
      </c>
      <c r="D44" s="27" t="s">
        <v>297</v>
      </c>
      <c r="E44" s="66" t="s">
        <v>198</v>
      </c>
      <c r="F44" s="119">
        <v>9630.48</v>
      </c>
      <c r="G44" s="29"/>
      <c r="H44" s="29"/>
      <c r="I44" s="42">
        <f>SUM(G44:H44)*$I$4</f>
        <v>0</v>
      </c>
      <c r="J44" s="42">
        <f>SUM(G44:I44)*$J$4</f>
        <v>0</v>
      </c>
      <c r="K44" s="42">
        <f>SUM(G44:J44)</f>
        <v>0</v>
      </c>
      <c r="L44" s="42">
        <f t="shared" si="6"/>
        <v>0</v>
      </c>
      <c r="M44" s="91" t="s">
        <v>301</v>
      </c>
    </row>
    <row r="45" s="3" customFormat="1" ht="25.95" customHeight="1" outlineLevel="1" spans="1:13">
      <c r="A45" s="24">
        <v>4</v>
      </c>
      <c r="B45" s="27" t="s">
        <v>302</v>
      </c>
      <c r="C45" s="27" t="s">
        <v>302</v>
      </c>
      <c r="D45" s="27" t="s">
        <v>297</v>
      </c>
      <c r="E45" s="66" t="s">
        <v>198</v>
      </c>
      <c r="F45" s="119">
        <v>9630.48</v>
      </c>
      <c r="G45" s="29"/>
      <c r="H45" s="29"/>
      <c r="I45" s="42">
        <f>SUM(G45:H45)*$I$4</f>
        <v>0</v>
      </c>
      <c r="J45" s="42">
        <f>SUM(G45:I45)*$J$4</f>
        <v>0</v>
      </c>
      <c r="K45" s="42">
        <f>SUM(G45:J45)</f>
        <v>0</v>
      </c>
      <c r="L45" s="42">
        <f t="shared" si="6"/>
        <v>0</v>
      </c>
      <c r="M45" s="91" t="s">
        <v>303</v>
      </c>
    </row>
    <row r="46" ht="24.9" customHeight="1" spans="1:13">
      <c r="A46" s="24"/>
      <c r="B46" s="152" t="s">
        <v>63</v>
      </c>
      <c r="C46" s="152"/>
      <c r="D46" s="104"/>
      <c r="E46" s="104"/>
      <c r="F46" s="104"/>
      <c r="G46" s="66"/>
      <c r="H46" s="105"/>
      <c r="I46" s="105"/>
      <c r="J46" s="105"/>
      <c r="K46" s="105"/>
      <c r="L46" s="161" t="e">
        <f>SUM(L1:L45)</f>
        <v>#REF!</v>
      </c>
      <c r="M46" s="105"/>
    </row>
    <row r="47" ht="20.1" customHeight="1" spans="1:7">
      <c r="A47" s="39"/>
      <c r="B47" s="39"/>
      <c r="C47" s="39"/>
      <c r="D47" s="39"/>
      <c r="E47" s="39"/>
      <c r="F47" s="39"/>
      <c r="G47" s="39"/>
    </row>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sheetData>
  <sheetProtection formatCells="0" insertHyperlinks="0" autoFilter="0"/>
  <autoFilter ref="A2:M46">
    <extLst/>
  </autoFilter>
  <mergeCells count="18">
    <mergeCell ref="A1:M1"/>
    <mergeCell ref="G2:J2"/>
    <mergeCell ref="B5:C5"/>
    <mergeCell ref="B13:C13"/>
    <mergeCell ref="B23:C23"/>
    <mergeCell ref="B42:C42"/>
    <mergeCell ref="B46:C46"/>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63"/>
  <sheetViews>
    <sheetView zoomScale="90" zoomScaleNormal="90" workbookViewId="0">
      <pane ySplit="4" topLeftCell="A28" activePane="bottomLeft" state="frozen"/>
      <selection/>
      <selection pane="bottomLeft" activeCell="M22" sqref="M22"/>
    </sheetView>
  </sheetViews>
  <sheetFormatPr defaultColWidth="9" defaultRowHeight="14"/>
  <cols>
    <col min="1" max="1" width="5.66363636363636" style="47" customWidth="1"/>
    <col min="2" max="2" width="14.2181818181818" style="48" customWidth="1"/>
    <col min="3" max="3" width="32.5545454545455" style="47" customWidth="1"/>
    <col min="4" max="4" width="10" style="47" customWidth="1"/>
    <col min="5" max="5" width="5.66363636363636" style="47" customWidth="1"/>
    <col min="6" max="6" width="10.6636363636364" style="49" customWidth="1"/>
    <col min="7" max="7" width="10.6636363636364" style="47" customWidth="1"/>
    <col min="8" max="12" width="10.6636363636364" style="50" customWidth="1"/>
    <col min="13" max="13" width="12.6636363636364" style="51" customWidth="1"/>
    <col min="14" max="14" width="9" style="50"/>
    <col min="15" max="15" width="13.1090909090909" style="50" customWidth="1"/>
    <col min="16" max="16384" width="9" style="50"/>
  </cols>
  <sheetData>
    <row r="1" s="46" customFormat="1" ht="30" customHeight="1" spans="1:15">
      <c r="A1" s="52" t="str">
        <f>[1]汇总表!C3</f>
        <v>H艺院1#2#</v>
      </c>
      <c r="B1" s="53"/>
      <c r="C1" s="52"/>
      <c r="D1" s="52"/>
      <c r="E1" s="52"/>
      <c r="F1" s="54"/>
      <c r="G1" s="52"/>
      <c r="H1" s="52"/>
      <c r="I1" s="52"/>
      <c r="J1" s="52"/>
      <c r="K1" s="52"/>
      <c r="L1" s="52"/>
      <c r="M1" s="86"/>
      <c r="N1" s="27" t="s">
        <v>724</v>
      </c>
      <c r="O1" s="29">
        <v>18419.15</v>
      </c>
    </row>
    <row r="2" ht="20.1" customHeight="1" spans="1:13">
      <c r="A2" s="55" t="s">
        <v>97</v>
      </c>
      <c r="B2" s="55" t="s">
        <v>182</v>
      </c>
      <c r="C2" s="55" t="s">
        <v>183</v>
      </c>
      <c r="D2" s="55" t="s">
        <v>184</v>
      </c>
      <c r="E2" s="55" t="s">
        <v>125</v>
      </c>
      <c r="F2" s="56" t="s">
        <v>185</v>
      </c>
      <c r="G2" s="55" t="s">
        <v>186</v>
      </c>
      <c r="H2" s="57"/>
      <c r="I2" s="55"/>
      <c r="J2" s="56"/>
      <c r="K2" s="56" t="s">
        <v>187</v>
      </c>
      <c r="L2" s="56" t="s">
        <v>188</v>
      </c>
      <c r="M2" s="87" t="s">
        <v>43</v>
      </c>
    </row>
    <row r="3" ht="20.1" customHeight="1" spans="1:13">
      <c r="A3" s="55"/>
      <c r="B3" s="55"/>
      <c r="C3" s="55"/>
      <c r="D3" s="55"/>
      <c r="E3" s="55"/>
      <c r="F3" s="56"/>
      <c r="G3" s="55" t="s">
        <v>189</v>
      </c>
      <c r="H3" s="55" t="s">
        <v>190</v>
      </c>
      <c r="I3" s="56" t="s">
        <v>191</v>
      </c>
      <c r="J3" s="56" t="s">
        <v>192</v>
      </c>
      <c r="K3" s="56"/>
      <c r="L3" s="56"/>
      <c r="M3" s="87"/>
    </row>
    <row r="4" ht="20.1" customHeight="1" spans="1:13">
      <c r="A4" s="55"/>
      <c r="B4" s="55"/>
      <c r="C4" s="55"/>
      <c r="D4" s="55"/>
      <c r="E4" s="55"/>
      <c r="F4" s="56"/>
      <c r="G4" s="55"/>
      <c r="H4" s="55"/>
      <c r="I4" s="88"/>
      <c r="J4" s="88"/>
      <c r="K4" s="56"/>
      <c r="L4" s="56"/>
      <c r="M4" s="87"/>
    </row>
    <row r="5" ht="24.9" customHeight="1" spans="1:13">
      <c r="A5" s="58" t="s">
        <v>193</v>
      </c>
      <c r="B5" s="59" t="s">
        <v>327</v>
      </c>
      <c r="C5" s="59"/>
      <c r="D5" s="60"/>
      <c r="E5" s="60"/>
      <c r="F5" s="61"/>
      <c r="G5" s="61"/>
      <c r="H5" s="62"/>
      <c r="I5" s="62"/>
      <c r="J5" s="62"/>
      <c r="K5" s="62"/>
      <c r="L5" s="89"/>
      <c r="M5" s="90"/>
    </row>
    <row r="6" s="2" customFormat="1" ht="88.95" customHeight="1" outlineLevel="1" spans="1:13">
      <c r="A6" s="24">
        <v>1</v>
      </c>
      <c r="B6" s="63" t="s">
        <v>725</v>
      </c>
      <c r="C6" s="63" t="s">
        <v>726</v>
      </c>
      <c r="D6" s="27" t="s">
        <v>197</v>
      </c>
      <c r="E6" s="28" t="s">
        <v>211</v>
      </c>
      <c r="F6" s="64">
        <v>4457.5991</v>
      </c>
      <c r="G6" s="65"/>
      <c r="H6" s="65"/>
      <c r="I6" s="42">
        <f>SUM(G6:H6)*$I$4</f>
        <v>0</v>
      </c>
      <c r="J6" s="42">
        <f>SUM(G6:I6)*$J$4</f>
        <v>0</v>
      </c>
      <c r="K6" s="42">
        <f t="shared" ref="K6:K14" si="0">SUM(G6:J6)</f>
        <v>0</v>
      </c>
      <c r="L6" s="42">
        <f t="shared" ref="L6:L14" si="1">F6*K6</f>
        <v>0</v>
      </c>
      <c r="M6" s="91" t="s">
        <v>430</v>
      </c>
    </row>
    <row r="7" s="2" customFormat="1" ht="88.95" customHeight="1" outlineLevel="1" spans="1:13">
      <c r="A7" s="24">
        <v>2</v>
      </c>
      <c r="B7" s="63" t="s">
        <v>727</v>
      </c>
      <c r="C7" s="63" t="s">
        <v>728</v>
      </c>
      <c r="D7" s="27" t="s">
        <v>197</v>
      </c>
      <c r="E7" s="28" t="s">
        <v>211</v>
      </c>
      <c r="F7" s="64">
        <f>3061.1763+191.41*0.12</f>
        <v>3084.1455</v>
      </c>
      <c r="G7" s="65"/>
      <c r="H7" s="65"/>
      <c r="I7" s="42">
        <f>SUM(G7:H7)*$I$4</f>
        <v>0</v>
      </c>
      <c r="J7" s="42">
        <f>SUM(G7:I7)*$J$4</f>
        <v>0</v>
      </c>
      <c r="K7" s="42">
        <f t="shared" si="0"/>
        <v>0</v>
      </c>
      <c r="L7" s="42">
        <f t="shared" si="1"/>
        <v>0</v>
      </c>
      <c r="M7" s="91" t="s">
        <v>430</v>
      </c>
    </row>
    <row r="8" s="2" customFormat="1" ht="88.95" customHeight="1" outlineLevel="1" spans="1:13">
      <c r="A8" s="24">
        <v>3</v>
      </c>
      <c r="B8" s="63" t="s">
        <v>729</v>
      </c>
      <c r="C8" s="63" t="s">
        <v>730</v>
      </c>
      <c r="D8" s="27" t="s">
        <v>197</v>
      </c>
      <c r="E8" s="28" t="s">
        <v>211</v>
      </c>
      <c r="F8" s="64">
        <v>729.8893</v>
      </c>
      <c r="G8" s="65"/>
      <c r="H8" s="65"/>
      <c r="I8" s="42">
        <f>SUM(G8:H8)*$I$4</f>
        <v>0</v>
      </c>
      <c r="J8" s="42">
        <f>SUM(G8:I8)*$J$4</f>
        <v>0</v>
      </c>
      <c r="K8" s="42">
        <f t="shared" si="0"/>
        <v>0</v>
      </c>
      <c r="L8" s="42">
        <f t="shared" si="1"/>
        <v>0</v>
      </c>
      <c r="M8" s="91" t="s">
        <v>430</v>
      </c>
    </row>
    <row r="9" s="2" customFormat="1" ht="97.05" customHeight="1" outlineLevel="1" spans="1:13">
      <c r="A9" s="24">
        <v>4</v>
      </c>
      <c r="B9" s="63" t="s">
        <v>731</v>
      </c>
      <c r="C9" s="63" t="s">
        <v>732</v>
      </c>
      <c r="D9" s="27" t="s">
        <v>330</v>
      </c>
      <c r="E9" s="28" t="s">
        <v>211</v>
      </c>
      <c r="F9" s="64">
        <v>778.4559</v>
      </c>
      <c r="G9" s="65"/>
      <c r="H9" s="65"/>
      <c r="I9" s="42">
        <f>SUM(G9:H9)*$I$4</f>
        <v>0</v>
      </c>
      <c r="J9" s="42">
        <f>SUM(G9:I9)*$J$4</f>
        <v>0</v>
      </c>
      <c r="K9" s="42">
        <f t="shared" si="0"/>
        <v>0</v>
      </c>
      <c r="L9" s="42">
        <f t="shared" si="1"/>
        <v>0</v>
      </c>
      <c r="M9" s="91" t="s">
        <v>430</v>
      </c>
    </row>
    <row r="10" s="2" customFormat="1" ht="88.95" customHeight="1" outlineLevel="1" spans="1:13">
      <c r="A10" s="24">
        <v>5</v>
      </c>
      <c r="B10" s="63" t="s">
        <v>733</v>
      </c>
      <c r="C10" s="63" t="s">
        <v>734</v>
      </c>
      <c r="D10" s="27" t="s">
        <v>197</v>
      </c>
      <c r="E10" s="28" t="s">
        <v>211</v>
      </c>
      <c r="F10" s="64">
        <v>69.1673</v>
      </c>
      <c r="G10" s="65"/>
      <c r="H10" s="65"/>
      <c r="I10" s="42">
        <f>SUM(G10:H10)*$I$4</f>
        <v>0</v>
      </c>
      <c r="J10" s="42">
        <f>SUM(G10:I10)*$J$4</f>
        <v>0</v>
      </c>
      <c r="K10" s="42">
        <f t="shared" si="0"/>
        <v>0</v>
      </c>
      <c r="L10" s="42">
        <f t="shared" si="1"/>
        <v>0</v>
      </c>
      <c r="M10" s="91" t="s">
        <v>412</v>
      </c>
    </row>
    <row r="11" s="2" customFormat="1" ht="88.95" customHeight="1" outlineLevel="1" spans="1:13">
      <c r="A11" s="24">
        <v>6</v>
      </c>
      <c r="B11" s="63" t="s">
        <v>735</v>
      </c>
      <c r="C11" s="63" t="s">
        <v>736</v>
      </c>
      <c r="D11" s="27" t="s">
        <v>197</v>
      </c>
      <c r="E11" s="66" t="s">
        <v>211</v>
      </c>
      <c r="F11" s="64">
        <f>237.0934+118.55</f>
        <v>355.6434</v>
      </c>
      <c r="G11" s="29"/>
      <c r="H11" s="29"/>
      <c r="I11" s="42">
        <f>SUM(G11:H11)*$I$4</f>
        <v>0</v>
      </c>
      <c r="J11" s="42">
        <f>SUM(G11:I11)*$J$4</f>
        <v>0</v>
      </c>
      <c r="K11" s="42">
        <f t="shared" si="0"/>
        <v>0</v>
      </c>
      <c r="L11" s="42">
        <f t="shared" si="1"/>
        <v>0</v>
      </c>
      <c r="M11" s="91" t="s">
        <v>412</v>
      </c>
    </row>
    <row r="12" s="2" customFormat="1" ht="58.95" customHeight="1" outlineLevel="1" spans="1:13">
      <c r="A12" s="24">
        <v>13</v>
      </c>
      <c r="B12" s="63" t="s">
        <v>737</v>
      </c>
      <c r="C12" s="63" t="s">
        <v>738</v>
      </c>
      <c r="D12" s="27" t="s">
        <v>215</v>
      </c>
      <c r="E12" s="28" t="s">
        <v>211</v>
      </c>
      <c r="F12" s="64">
        <v>15563.7563</v>
      </c>
      <c r="G12" s="65"/>
      <c r="H12" s="65"/>
      <c r="I12" s="42">
        <f>SUM(G12:H12)*$I$4</f>
        <v>0</v>
      </c>
      <c r="J12" s="42">
        <f>SUM(G12:I12)*$J$4</f>
        <v>0</v>
      </c>
      <c r="K12" s="42">
        <f t="shared" si="0"/>
        <v>0</v>
      </c>
      <c r="L12" s="42">
        <f t="shared" si="1"/>
        <v>0</v>
      </c>
      <c r="M12" s="92" t="s">
        <v>739</v>
      </c>
    </row>
    <row r="13" s="2" customFormat="1" ht="58.95" customHeight="1" outlineLevel="1" spans="1:13">
      <c r="A13" s="24">
        <v>14</v>
      </c>
      <c r="B13" s="63" t="s">
        <v>208</v>
      </c>
      <c r="C13" s="63" t="s">
        <v>740</v>
      </c>
      <c r="D13" s="27" t="s">
        <v>215</v>
      </c>
      <c r="E13" s="28" t="s">
        <v>211</v>
      </c>
      <c r="F13" s="64">
        <v>1383.85</v>
      </c>
      <c r="G13" s="65"/>
      <c r="H13" s="65"/>
      <c r="I13" s="42">
        <f>SUM(G13:H13)*$I$4</f>
        <v>0</v>
      </c>
      <c r="J13" s="42">
        <f>SUM(G13:I13)*$J$4</f>
        <v>0</v>
      </c>
      <c r="K13" s="42">
        <f t="shared" si="0"/>
        <v>0</v>
      </c>
      <c r="L13" s="42">
        <f t="shared" si="1"/>
        <v>0</v>
      </c>
      <c r="M13" s="92" t="s">
        <v>676</v>
      </c>
    </row>
    <row r="14" s="2" customFormat="1" ht="58.95" customHeight="1" outlineLevel="1" spans="1:13">
      <c r="A14" s="24">
        <v>15</v>
      </c>
      <c r="B14" s="63" t="s">
        <v>213</v>
      </c>
      <c r="C14" s="63" t="s">
        <v>741</v>
      </c>
      <c r="D14" s="27" t="s">
        <v>215</v>
      </c>
      <c r="E14" s="28" t="s">
        <v>211</v>
      </c>
      <c r="F14" s="64">
        <f>+F13</f>
        <v>1383.85</v>
      </c>
      <c r="G14" s="65"/>
      <c r="H14" s="65"/>
      <c r="I14" s="42">
        <f>SUM(G14:H14)*$I$4</f>
        <v>0</v>
      </c>
      <c r="J14" s="42">
        <f>SUM(G14:I14)*$J$4</f>
        <v>0</v>
      </c>
      <c r="K14" s="42">
        <f t="shared" si="0"/>
        <v>0</v>
      </c>
      <c r="L14" s="42">
        <f t="shared" si="1"/>
        <v>0</v>
      </c>
      <c r="M14" s="92" t="s">
        <v>676</v>
      </c>
    </row>
    <row r="15" s="2" customFormat="1" ht="36.3" customHeight="1" outlineLevel="1" spans="1:15">
      <c r="A15" s="24">
        <v>16</v>
      </c>
      <c r="B15" s="67" t="s">
        <v>500</v>
      </c>
      <c r="C15" s="68" t="s">
        <v>679</v>
      </c>
      <c r="D15" s="67" t="s">
        <v>210</v>
      </c>
      <c r="E15" s="28" t="s">
        <v>211</v>
      </c>
      <c r="F15" s="64">
        <v>6049.19</v>
      </c>
      <c r="G15" s="65"/>
      <c r="H15" s="65"/>
      <c r="I15" s="93">
        <v>0</v>
      </c>
      <c r="J15" s="93">
        <v>0</v>
      </c>
      <c r="K15" s="93">
        <v>0</v>
      </c>
      <c r="L15" s="93">
        <v>0</v>
      </c>
      <c r="M15" s="94" t="s">
        <v>742</v>
      </c>
      <c r="N15" s="3"/>
      <c r="O15" s="3"/>
    </row>
    <row r="16" s="2" customFormat="1" ht="58.95" customHeight="1" outlineLevel="1" spans="1:15">
      <c r="A16" s="24">
        <v>17</v>
      </c>
      <c r="B16" s="63" t="s">
        <v>221</v>
      </c>
      <c r="C16" s="63" t="s">
        <v>743</v>
      </c>
      <c r="D16" s="69" t="s">
        <v>223</v>
      </c>
      <c r="E16" s="28" t="s">
        <v>744</v>
      </c>
      <c r="F16" s="64">
        <f>72.08*0.32</f>
        <v>23.0656</v>
      </c>
      <c r="G16" s="65"/>
      <c r="H16" s="65"/>
      <c r="I16" s="42">
        <f>SUM(G16:H16)*$I$4</f>
        <v>0</v>
      </c>
      <c r="J16" s="42">
        <f>SUM(G16:I16)*$J$4</f>
        <v>0</v>
      </c>
      <c r="K16" s="42">
        <f t="shared" ref="K16:K30" si="2">SUM(G16:J16)</f>
        <v>0</v>
      </c>
      <c r="L16" s="42">
        <f t="shared" ref="L16:L30" si="3">F16*K16</f>
        <v>0</v>
      </c>
      <c r="M16" s="92" t="s">
        <v>224</v>
      </c>
      <c r="N16" s="3"/>
      <c r="O16" s="3"/>
    </row>
    <row r="17" s="2" customFormat="1" ht="24.9" customHeight="1" spans="1:15">
      <c r="A17" s="58" t="s">
        <v>225</v>
      </c>
      <c r="B17" s="59" t="s">
        <v>437</v>
      </c>
      <c r="C17" s="59"/>
      <c r="D17" s="60"/>
      <c r="E17" s="60"/>
      <c r="F17" s="61"/>
      <c r="G17" s="61"/>
      <c r="H17" s="62"/>
      <c r="I17" s="62"/>
      <c r="J17" s="62"/>
      <c r="K17" s="62"/>
      <c r="L17" s="89"/>
      <c r="M17" s="90"/>
      <c r="N17" s="50"/>
      <c r="O17" s="50"/>
    </row>
    <row r="18" s="2" customFormat="1" ht="76.05" customHeight="1" outlineLevel="1" spans="1:13">
      <c r="A18" s="24">
        <v>1</v>
      </c>
      <c r="B18" s="70" t="s">
        <v>745</v>
      </c>
      <c r="C18" s="70" t="s">
        <v>746</v>
      </c>
      <c r="D18" s="27" t="s">
        <v>229</v>
      </c>
      <c r="E18" s="28" t="s">
        <v>211</v>
      </c>
      <c r="F18" s="64">
        <v>593.4348</v>
      </c>
      <c r="G18" s="65"/>
      <c r="H18" s="65"/>
      <c r="I18" s="42">
        <f>SUM(G18:H18)*$I$4</f>
        <v>0</v>
      </c>
      <c r="J18" s="42">
        <f>SUM(G18:I18)*$J$4</f>
        <v>0</v>
      </c>
      <c r="K18" s="42">
        <f t="shared" si="2"/>
        <v>0</v>
      </c>
      <c r="L18" s="42">
        <f t="shared" si="3"/>
        <v>0</v>
      </c>
      <c r="M18" s="91" t="s">
        <v>438</v>
      </c>
    </row>
    <row r="19" s="2" customFormat="1" ht="76.05" customHeight="1" outlineLevel="1" spans="1:13">
      <c r="A19" s="24">
        <v>2</v>
      </c>
      <c r="B19" s="70" t="s">
        <v>747</v>
      </c>
      <c r="C19" s="70" t="s">
        <v>748</v>
      </c>
      <c r="D19" s="27" t="s">
        <v>229</v>
      </c>
      <c r="E19" s="28" t="s">
        <v>211</v>
      </c>
      <c r="F19" s="64">
        <v>1071.5015</v>
      </c>
      <c r="G19" s="65"/>
      <c r="H19" s="65"/>
      <c r="I19" s="42">
        <f>SUM(G19:H19)*$I$4</f>
        <v>0</v>
      </c>
      <c r="J19" s="42">
        <f>SUM(G19:I19)*$J$4</f>
        <v>0</v>
      </c>
      <c r="K19" s="42">
        <f t="shared" si="2"/>
        <v>0</v>
      </c>
      <c r="L19" s="42">
        <f t="shared" si="3"/>
        <v>0</v>
      </c>
      <c r="M19" s="91" t="s">
        <v>418</v>
      </c>
    </row>
    <row r="20" s="2" customFormat="1" ht="76.05" customHeight="1" outlineLevel="1" spans="1:13">
      <c r="A20" s="24">
        <v>3</v>
      </c>
      <c r="B20" s="70" t="s">
        <v>681</v>
      </c>
      <c r="C20" s="70" t="s">
        <v>749</v>
      </c>
      <c r="D20" s="27" t="s">
        <v>229</v>
      </c>
      <c r="E20" s="28" t="s">
        <v>211</v>
      </c>
      <c r="F20" s="64">
        <v>2877.9669</v>
      </c>
      <c r="G20" s="65"/>
      <c r="H20" s="65"/>
      <c r="I20" s="42">
        <f>SUM(G20:H20)*$I$4</f>
        <v>0</v>
      </c>
      <c r="J20" s="42">
        <f>SUM(G20:I20)*$J$4</f>
        <v>0</v>
      </c>
      <c r="K20" s="42">
        <f t="shared" si="2"/>
        <v>0</v>
      </c>
      <c r="L20" s="42">
        <f t="shared" si="3"/>
        <v>0</v>
      </c>
      <c r="M20" s="91" t="s">
        <v>418</v>
      </c>
    </row>
    <row r="21" s="2" customFormat="1" ht="76.05" customHeight="1" outlineLevel="1" spans="1:13">
      <c r="A21" s="24">
        <v>4</v>
      </c>
      <c r="B21" s="70" t="s">
        <v>683</v>
      </c>
      <c r="C21" s="70" t="s">
        <v>684</v>
      </c>
      <c r="D21" s="27" t="s">
        <v>233</v>
      </c>
      <c r="E21" s="28" t="s">
        <v>211</v>
      </c>
      <c r="F21" s="64">
        <f>4399.16+181.13*2</f>
        <v>4761.42</v>
      </c>
      <c r="G21" s="65"/>
      <c r="H21" s="65"/>
      <c r="I21" s="42">
        <f>SUM(G21:H21)*$I$4</f>
        <v>0</v>
      </c>
      <c r="J21" s="42">
        <f>SUM(G21:I21)*$J$4</f>
        <v>0</v>
      </c>
      <c r="K21" s="42">
        <f t="shared" si="2"/>
        <v>0</v>
      </c>
      <c r="L21" s="42">
        <f t="shared" si="3"/>
        <v>0</v>
      </c>
      <c r="M21" s="92" t="s">
        <v>750</v>
      </c>
    </row>
    <row r="22" s="2" customFormat="1" ht="82.95" customHeight="1" outlineLevel="1" spans="1:13">
      <c r="A22" s="24">
        <v>8</v>
      </c>
      <c r="B22" s="70" t="s">
        <v>751</v>
      </c>
      <c r="C22" s="70" t="s">
        <v>752</v>
      </c>
      <c r="D22" s="27" t="s">
        <v>229</v>
      </c>
      <c r="E22" s="66" t="s">
        <v>211</v>
      </c>
      <c r="F22" s="64">
        <v>2923.4152</v>
      </c>
      <c r="G22" s="29"/>
      <c r="H22" s="29"/>
      <c r="I22" s="42">
        <f>SUM(G22:H22)*$I$4</f>
        <v>0</v>
      </c>
      <c r="J22" s="42">
        <f>SUM(G22:I22)*$J$4</f>
        <v>0</v>
      </c>
      <c r="K22" s="42">
        <f t="shared" si="2"/>
        <v>0</v>
      </c>
      <c r="L22" s="42">
        <f t="shared" si="3"/>
        <v>0</v>
      </c>
      <c r="M22" s="91" t="s">
        <v>420</v>
      </c>
    </row>
    <row r="23" s="2" customFormat="1" ht="120" customHeight="1" outlineLevel="1" spans="1:13">
      <c r="A23" s="24">
        <v>9</v>
      </c>
      <c r="B23" s="70" t="s">
        <v>685</v>
      </c>
      <c r="C23" s="70" t="s">
        <v>686</v>
      </c>
      <c r="D23" s="27" t="s">
        <v>233</v>
      </c>
      <c r="E23" s="28" t="s">
        <v>211</v>
      </c>
      <c r="F23" s="64">
        <v>2174.14</v>
      </c>
      <c r="G23" s="65"/>
      <c r="H23" s="65"/>
      <c r="I23" s="42">
        <f>SUM(G23:H23)*$I$4</f>
        <v>0</v>
      </c>
      <c r="J23" s="42">
        <f>SUM(G23:I23)*$J$4</f>
        <v>0</v>
      </c>
      <c r="K23" s="42">
        <f t="shared" si="2"/>
        <v>0</v>
      </c>
      <c r="L23" s="42">
        <f t="shared" si="3"/>
        <v>0</v>
      </c>
      <c r="M23" s="92" t="s">
        <v>753</v>
      </c>
    </row>
    <row r="24" s="2" customFormat="1" ht="120" customHeight="1" outlineLevel="1" spans="1:13">
      <c r="A24" s="24">
        <v>10</v>
      </c>
      <c r="B24" s="70" t="s">
        <v>754</v>
      </c>
      <c r="C24" s="70" t="s">
        <v>755</v>
      </c>
      <c r="D24" s="27" t="s">
        <v>233</v>
      </c>
      <c r="E24" s="28" t="s">
        <v>211</v>
      </c>
      <c r="F24" s="64">
        <v>4240.62</v>
      </c>
      <c r="G24" s="65"/>
      <c r="H24" s="65"/>
      <c r="I24" s="42">
        <f>SUM(G24:H24)*$I$4</f>
        <v>0</v>
      </c>
      <c r="J24" s="42">
        <f>SUM(G24:I24)*$J$4</f>
        <v>0</v>
      </c>
      <c r="K24" s="42">
        <f t="shared" si="2"/>
        <v>0</v>
      </c>
      <c r="L24" s="42">
        <f t="shared" si="3"/>
        <v>0</v>
      </c>
      <c r="M24" s="92" t="s">
        <v>753</v>
      </c>
    </row>
    <row r="25" s="2" customFormat="1" ht="120" customHeight="1" outlineLevel="1" spans="1:13">
      <c r="A25" s="24">
        <v>11</v>
      </c>
      <c r="B25" s="70" t="s">
        <v>756</v>
      </c>
      <c r="C25" s="70" t="s">
        <v>755</v>
      </c>
      <c r="D25" s="27" t="s">
        <v>233</v>
      </c>
      <c r="E25" s="28" t="s">
        <v>211</v>
      </c>
      <c r="F25" s="64">
        <v>9359.99</v>
      </c>
      <c r="G25" s="65"/>
      <c r="H25" s="65"/>
      <c r="I25" s="42">
        <f>SUM(G25:H25)*$I$4</f>
        <v>0</v>
      </c>
      <c r="J25" s="42">
        <f>SUM(G25:I25)*$J$4</f>
        <v>0</v>
      </c>
      <c r="K25" s="42">
        <f t="shared" si="2"/>
        <v>0</v>
      </c>
      <c r="L25" s="42">
        <f t="shared" si="3"/>
        <v>0</v>
      </c>
      <c r="M25" s="92" t="s">
        <v>753</v>
      </c>
    </row>
    <row r="26" s="2" customFormat="1" ht="70.05" customHeight="1" outlineLevel="1" spans="1:13">
      <c r="A26" s="24">
        <v>12</v>
      </c>
      <c r="B26" s="70" t="s">
        <v>580</v>
      </c>
      <c r="C26" s="70" t="s">
        <v>581</v>
      </c>
      <c r="D26" s="27" t="s">
        <v>229</v>
      </c>
      <c r="E26" s="28" t="s">
        <v>211</v>
      </c>
      <c r="F26" s="64">
        <f>199.73</f>
        <v>199.73</v>
      </c>
      <c r="G26" s="65"/>
      <c r="H26" s="65"/>
      <c r="I26" s="42">
        <f>SUM(G26:H26)*$I$4</f>
        <v>0</v>
      </c>
      <c r="J26" s="42">
        <f>SUM(G26:I26)*$J$4</f>
        <v>0</v>
      </c>
      <c r="K26" s="42">
        <f t="shared" si="2"/>
        <v>0</v>
      </c>
      <c r="L26" s="42">
        <f t="shared" si="3"/>
        <v>0</v>
      </c>
      <c r="M26" s="91" t="s">
        <v>519</v>
      </c>
    </row>
    <row r="27" s="2" customFormat="1" ht="70.05" customHeight="1" outlineLevel="1" spans="1:13">
      <c r="A27" s="24">
        <v>13</v>
      </c>
      <c r="B27" s="70" t="s">
        <v>595</v>
      </c>
      <c r="C27" s="70" t="s">
        <v>757</v>
      </c>
      <c r="D27" s="27" t="s">
        <v>229</v>
      </c>
      <c r="E27" s="28" t="s">
        <v>211</v>
      </c>
      <c r="F27" s="64">
        <f>988.95+297.19</f>
        <v>1286.14</v>
      </c>
      <c r="G27" s="65"/>
      <c r="H27" s="65"/>
      <c r="I27" s="42">
        <f>SUM(G27:H27)*$I$4</f>
        <v>0</v>
      </c>
      <c r="J27" s="42">
        <f>SUM(G27:I27)*$J$4</f>
        <v>0</v>
      </c>
      <c r="K27" s="42">
        <f t="shared" si="2"/>
        <v>0</v>
      </c>
      <c r="L27" s="42">
        <f t="shared" si="3"/>
        <v>0</v>
      </c>
      <c r="M27" s="91" t="s">
        <v>519</v>
      </c>
    </row>
    <row r="28" s="2" customFormat="1" ht="64.95" customHeight="1" outlineLevel="1" spans="1:13">
      <c r="A28" s="24">
        <v>15</v>
      </c>
      <c r="B28" s="70" t="s">
        <v>247</v>
      </c>
      <c r="C28" s="71" t="s">
        <v>758</v>
      </c>
      <c r="D28" s="27" t="s">
        <v>206</v>
      </c>
      <c r="E28" s="28" t="s">
        <v>175</v>
      </c>
      <c r="F28" s="64">
        <f>181.1317/0.2</f>
        <v>905.6585</v>
      </c>
      <c r="G28" s="65"/>
      <c r="H28" s="65"/>
      <c r="I28" s="42">
        <f>SUM(G28:H28)*$I$4</f>
        <v>0</v>
      </c>
      <c r="J28" s="42">
        <f>SUM(G28:I28)*$J$4</f>
        <v>0</v>
      </c>
      <c r="K28" s="42">
        <f t="shared" si="2"/>
        <v>0</v>
      </c>
      <c r="L28" s="42">
        <f t="shared" si="3"/>
        <v>0</v>
      </c>
      <c r="M28" s="91" t="s">
        <v>421</v>
      </c>
    </row>
    <row r="29" s="2" customFormat="1" ht="66" customHeight="1" outlineLevel="1" spans="1:13">
      <c r="A29" s="24">
        <v>18</v>
      </c>
      <c r="B29" s="70" t="s">
        <v>759</v>
      </c>
      <c r="C29" s="72" t="s">
        <v>760</v>
      </c>
      <c r="D29" s="27" t="s">
        <v>206</v>
      </c>
      <c r="E29" s="28" t="s">
        <v>175</v>
      </c>
      <c r="F29" s="64">
        <v>224.052</v>
      </c>
      <c r="G29" s="65"/>
      <c r="H29" s="65"/>
      <c r="I29" s="42">
        <f>SUM(G29:H29)*$I$4</f>
        <v>0</v>
      </c>
      <c r="J29" s="42">
        <f>SUM(G29:I29)*$J$4</f>
        <v>0</v>
      </c>
      <c r="K29" s="42">
        <f t="shared" si="2"/>
        <v>0</v>
      </c>
      <c r="L29" s="42">
        <f t="shared" si="3"/>
        <v>0</v>
      </c>
      <c r="M29" s="91" t="s">
        <v>421</v>
      </c>
    </row>
    <row r="30" s="2" customFormat="1" ht="37.95" customHeight="1" outlineLevel="1" spans="1:13">
      <c r="A30" s="24">
        <v>19</v>
      </c>
      <c r="B30" s="70" t="s">
        <v>582</v>
      </c>
      <c r="C30" s="70" t="s">
        <v>583</v>
      </c>
      <c r="D30" s="27" t="s">
        <v>292</v>
      </c>
      <c r="E30" s="28" t="s">
        <v>138</v>
      </c>
      <c r="F30" s="64">
        <f>3+22</f>
        <v>25</v>
      </c>
      <c r="G30" s="65"/>
      <c r="H30" s="65"/>
      <c r="I30" s="42">
        <f>SUM(G30:H30)*$I$4</f>
        <v>0</v>
      </c>
      <c r="J30" s="42">
        <f>SUM(G30:I30)*$J$4</f>
        <v>0</v>
      </c>
      <c r="K30" s="42">
        <f t="shared" si="2"/>
        <v>0</v>
      </c>
      <c r="L30" s="42">
        <f t="shared" si="3"/>
        <v>0</v>
      </c>
      <c r="M30" s="91"/>
    </row>
    <row r="31" s="2" customFormat="1" ht="24.9" customHeight="1" spans="1:15">
      <c r="A31" s="58" t="s">
        <v>254</v>
      </c>
      <c r="B31" s="59" t="s">
        <v>345</v>
      </c>
      <c r="C31" s="59"/>
      <c r="D31" s="60"/>
      <c r="E31" s="60"/>
      <c r="F31" s="61"/>
      <c r="G31" s="61"/>
      <c r="H31" s="62"/>
      <c r="I31" s="62"/>
      <c r="J31" s="62"/>
      <c r="K31" s="62"/>
      <c r="L31" s="89"/>
      <c r="M31" s="90"/>
      <c r="N31" s="50"/>
      <c r="O31" s="50"/>
    </row>
    <row r="32" s="2" customFormat="1" ht="61.95" customHeight="1" outlineLevel="1" spans="1:13">
      <c r="A32" s="24">
        <v>2</v>
      </c>
      <c r="B32" s="73" t="s">
        <v>761</v>
      </c>
      <c r="C32" s="63" t="s">
        <v>712</v>
      </c>
      <c r="D32" s="27" t="s">
        <v>206</v>
      </c>
      <c r="E32" s="28" t="s">
        <v>175</v>
      </c>
      <c r="F32" s="29">
        <v>916.79</v>
      </c>
      <c r="G32" s="65"/>
      <c r="H32" s="65"/>
      <c r="I32" s="42">
        <f>SUM(G32:H32)*$I$4</f>
        <v>0</v>
      </c>
      <c r="J32" s="42">
        <f>SUM(G32:I32)*$J$4</f>
        <v>0</v>
      </c>
      <c r="K32" s="42">
        <f t="shared" ref="K32:K42" si="4">SUM(G32:J32)</f>
        <v>0</v>
      </c>
      <c r="L32" s="42">
        <f t="shared" ref="L32:L42" si="5">F32*K32</f>
        <v>0</v>
      </c>
      <c r="M32" s="92" t="s">
        <v>715</v>
      </c>
    </row>
    <row r="33" s="2" customFormat="1" ht="108" customHeight="1" outlineLevel="1" spans="1:13">
      <c r="A33" s="24">
        <v>3</v>
      </c>
      <c r="B33" s="25" t="s">
        <v>762</v>
      </c>
      <c r="C33" s="63" t="s">
        <v>763</v>
      </c>
      <c r="D33" s="27" t="s">
        <v>197</v>
      </c>
      <c r="E33" s="28" t="s">
        <v>211</v>
      </c>
      <c r="F33" s="29">
        <v>1755.62305</v>
      </c>
      <c r="G33" s="65"/>
      <c r="H33" s="65"/>
      <c r="I33" s="42">
        <f>SUM(G33:H33)*$I$4</f>
        <v>0</v>
      </c>
      <c r="J33" s="42">
        <f>SUM(G33:I33)*$J$4</f>
        <v>0</v>
      </c>
      <c r="K33" s="42">
        <f t="shared" si="4"/>
        <v>0</v>
      </c>
      <c r="L33" s="42">
        <f t="shared" si="5"/>
        <v>0</v>
      </c>
      <c r="M33" s="92" t="s">
        <v>715</v>
      </c>
    </row>
    <row r="34" s="2" customFormat="1" ht="102.3" customHeight="1" outlineLevel="1" spans="1:13">
      <c r="A34" s="24">
        <v>4</v>
      </c>
      <c r="B34" s="25" t="s">
        <v>764</v>
      </c>
      <c r="C34" s="74" t="s">
        <v>765</v>
      </c>
      <c r="D34" s="27" t="s">
        <v>197</v>
      </c>
      <c r="E34" s="28" t="s">
        <v>211</v>
      </c>
      <c r="F34" s="29">
        <v>3311.8131</v>
      </c>
      <c r="G34" s="65"/>
      <c r="H34" s="65"/>
      <c r="I34" s="42">
        <f>SUM(G34:H34)*$I$4</f>
        <v>0</v>
      </c>
      <c r="J34" s="42">
        <f>SUM(G34:I34)*$J$4</f>
        <v>0</v>
      </c>
      <c r="K34" s="42">
        <f t="shared" si="4"/>
        <v>0</v>
      </c>
      <c r="L34" s="42">
        <f t="shared" si="5"/>
        <v>0</v>
      </c>
      <c r="M34" s="43" t="s">
        <v>426</v>
      </c>
    </row>
    <row r="35" s="2" customFormat="1" ht="117" customHeight="1" outlineLevel="1" spans="1:13">
      <c r="A35" s="24">
        <v>5</v>
      </c>
      <c r="B35" s="25" t="s">
        <v>766</v>
      </c>
      <c r="C35" s="75" t="s">
        <v>767</v>
      </c>
      <c r="D35" s="27" t="s">
        <v>197</v>
      </c>
      <c r="E35" s="28" t="s">
        <v>211</v>
      </c>
      <c r="F35" s="29">
        <f>176.144+128.69</f>
        <v>304.834</v>
      </c>
      <c r="G35" s="65"/>
      <c r="H35" s="65"/>
      <c r="I35" s="42">
        <f>SUM(G35:H35)*$I$4</f>
        <v>0</v>
      </c>
      <c r="J35" s="42">
        <f>SUM(G35:I35)*$J$4</f>
        <v>0</v>
      </c>
      <c r="K35" s="42">
        <f t="shared" si="4"/>
        <v>0</v>
      </c>
      <c r="L35" s="42">
        <f t="shared" si="5"/>
        <v>0</v>
      </c>
      <c r="M35" s="43" t="s">
        <v>426</v>
      </c>
    </row>
    <row r="36" s="2" customFormat="1" ht="73.95" customHeight="1" outlineLevel="1" spans="1:13">
      <c r="A36" s="24">
        <v>7</v>
      </c>
      <c r="B36" s="25" t="s">
        <v>768</v>
      </c>
      <c r="C36" s="75" t="s">
        <v>769</v>
      </c>
      <c r="D36" s="27" t="s">
        <v>197</v>
      </c>
      <c r="E36" s="28" t="s">
        <v>211</v>
      </c>
      <c r="F36" s="29">
        <v>184.0998</v>
      </c>
      <c r="G36" s="65"/>
      <c r="H36" s="65"/>
      <c r="I36" s="42">
        <f>SUM(G36:H36)*$I$4</f>
        <v>0</v>
      </c>
      <c r="J36" s="42">
        <f>SUM(G36:I36)*$J$4</f>
        <v>0</v>
      </c>
      <c r="K36" s="42">
        <f t="shared" si="4"/>
        <v>0</v>
      </c>
      <c r="L36" s="42">
        <f t="shared" si="5"/>
        <v>0</v>
      </c>
      <c r="M36" s="43" t="s">
        <v>770</v>
      </c>
    </row>
    <row r="37" s="2" customFormat="1" ht="88.05" customHeight="1" outlineLevel="1" spans="1:13">
      <c r="A37" s="24">
        <v>8</v>
      </c>
      <c r="B37" s="25" t="s">
        <v>771</v>
      </c>
      <c r="C37" s="75" t="s">
        <v>772</v>
      </c>
      <c r="D37" s="27" t="s">
        <v>197</v>
      </c>
      <c r="E37" s="28" t="s">
        <v>211</v>
      </c>
      <c r="F37" s="29">
        <f>1848.53+17.92</f>
        <v>1866.45</v>
      </c>
      <c r="G37" s="65"/>
      <c r="H37" s="65"/>
      <c r="I37" s="42">
        <f>SUM(G37:H37)*$I$4</f>
        <v>0</v>
      </c>
      <c r="J37" s="42">
        <f>SUM(G37:I37)*$J$4</f>
        <v>0</v>
      </c>
      <c r="K37" s="42">
        <f t="shared" si="4"/>
        <v>0</v>
      </c>
      <c r="L37" s="42">
        <f t="shared" si="5"/>
        <v>0</v>
      </c>
      <c r="M37" s="29" t="s">
        <v>441</v>
      </c>
    </row>
    <row r="38" s="2" customFormat="1" ht="73.95" customHeight="1" outlineLevel="1" spans="1:13">
      <c r="A38" s="24">
        <v>13</v>
      </c>
      <c r="B38" s="25" t="s">
        <v>773</v>
      </c>
      <c r="C38" s="75" t="s">
        <v>774</v>
      </c>
      <c r="D38" s="27" t="s">
        <v>197</v>
      </c>
      <c r="E38" s="28" t="s">
        <v>211</v>
      </c>
      <c r="F38" s="29">
        <f>679.4684+9299.99</f>
        <v>9979.4584</v>
      </c>
      <c r="G38" s="65"/>
      <c r="H38" s="65"/>
      <c r="I38" s="42">
        <f>SUM(G38:H38)*$I$4</f>
        <v>0</v>
      </c>
      <c r="J38" s="42">
        <f>SUM(G38:I38)*$J$4</f>
        <v>0</v>
      </c>
      <c r="K38" s="42">
        <f t="shared" si="4"/>
        <v>0</v>
      </c>
      <c r="L38" s="42">
        <f t="shared" si="5"/>
        <v>0</v>
      </c>
      <c r="M38" s="29" t="s">
        <v>775</v>
      </c>
    </row>
    <row r="39" s="2" customFormat="1" ht="73.95" customHeight="1" outlineLevel="1" spans="1:13">
      <c r="A39" s="24">
        <v>14</v>
      </c>
      <c r="B39" s="25" t="s">
        <v>776</v>
      </c>
      <c r="C39" s="75" t="s">
        <v>774</v>
      </c>
      <c r="D39" s="27" t="s">
        <v>197</v>
      </c>
      <c r="E39" s="28" t="s">
        <v>211</v>
      </c>
      <c r="F39" s="29">
        <f>56.894+1413.37</f>
        <v>1470.264</v>
      </c>
      <c r="G39" s="65"/>
      <c r="H39" s="65"/>
      <c r="I39" s="42">
        <f>SUM(G39:H39)*$I$4</f>
        <v>0</v>
      </c>
      <c r="J39" s="42">
        <f>SUM(G39:I39)*$J$4</f>
        <v>0</v>
      </c>
      <c r="K39" s="42">
        <f t="shared" si="4"/>
        <v>0</v>
      </c>
      <c r="L39" s="42">
        <f t="shared" si="5"/>
        <v>0</v>
      </c>
      <c r="M39" s="29" t="s">
        <v>775</v>
      </c>
    </row>
    <row r="40" s="2" customFormat="1" ht="96" customHeight="1" outlineLevel="1" spans="1:13">
      <c r="A40" s="24">
        <v>16</v>
      </c>
      <c r="B40" s="25" t="s">
        <v>777</v>
      </c>
      <c r="C40" s="26" t="s">
        <v>703</v>
      </c>
      <c r="D40" s="27" t="s">
        <v>264</v>
      </c>
      <c r="E40" s="28" t="s">
        <v>265</v>
      </c>
      <c r="F40" s="29">
        <f>14+15+19*2+11</f>
        <v>78</v>
      </c>
      <c r="G40" s="65"/>
      <c r="H40" s="65"/>
      <c r="I40" s="42">
        <f>SUM(G40:H40)*$I$4</f>
        <v>0</v>
      </c>
      <c r="J40" s="42">
        <f>SUM(G40:I40)*$J$4</f>
        <v>0</v>
      </c>
      <c r="K40" s="42">
        <f t="shared" si="4"/>
        <v>0</v>
      </c>
      <c r="L40" s="42">
        <f t="shared" si="5"/>
        <v>0</v>
      </c>
      <c r="M40" s="43" t="s">
        <v>426</v>
      </c>
    </row>
    <row r="41" s="2" customFormat="1" ht="70.95" customHeight="1" outlineLevel="1" spans="1:13">
      <c r="A41" s="24">
        <v>17</v>
      </c>
      <c r="B41" s="25" t="s">
        <v>656</v>
      </c>
      <c r="C41" s="63" t="s">
        <v>778</v>
      </c>
      <c r="D41" s="27" t="s">
        <v>349</v>
      </c>
      <c r="E41" s="28" t="s">
        <v>211</v>
      </c>
      <c r="F41" s="29">
        <f>20.83*3.2</f>
        <v>66.656</v>
      </c>
      <c r="G41" s="65"/>
      <c r="H41" s="65"/>
      <c r="I41" s="42">
        <f>SUM(G41:H41)*$I$4</f>
        <v>0</v>
      </c>
      <c r="J41" s="42">
        <f>SUM(G41:I41)*$J$4</f>
        <v>0</v>
      </c>
      <c r="K41" s="42">
        <f t="shared" si="4"/>
        <v>0</v>
      </c>
      <c r="L41" s="42">
        <f t="shared" si="5"/>
        <v>0</v>
      </c>
      <c r="M41" s="29" t="s">
        <v>428</v>
      </c>
    </row>
    <row r="42" s="2" customFormat="1" ht="70.95" customHeight="1" outlineLevel="1" spans="1:13">
      <c r="A42" s="24">
        <v>18</v>
      </c>
      <c r="B42" s="25" t="s">
        <v>779</v>
      </c>
      <c r="C42" s="63" t="s">
        <v>780</v>
      </c>
      <c r="D42" s="27" t="s">
        <v>349</v>
      </c>
      <c r="E42" s="28" t="s">
        <v>211</v>
      </c>
      <c r="F42" s="29">
        <f>77.3*3.2</f>
        <v>247.36</v>
      </c>
      <c r="G42" s="65"/>
      <c r="H42" s="65"/>
      <c r="I42" s="42">
        <f>SUM(G42:H42)*$I$4</f>
        <v>0</v>
      </c>
      <c r="J42" s="42">
        <f>SUM(G42:I42)*$J$4</f>
        <v>0</v>
      </c>
      <c r="K42" s="42">
        <f t="shared" si="4"/>
        <v>0</v>
      </c>
      <c r="L42" s="42">
        <f t="shared" si="5"/>
        <v>0</v>
      </c>
      <c r="M42" s="29" t="s">
        <v>428</v>
      </c>
    </row>
    <row r="43" ht="24.9" customHeight="1" spans="1:13">
      <c r="A43" s="58" t="s">
        <v>293</v>
      </c>
      <c r="B43" s="59" t="s">
        <v>294</v>
      </c>
      <c r="C43" s="59"/>
      <c r="D43" s="60"/>
      <c r="E43" s="60"/>
      <c r="F43" s="61"/>
      <c r="G43" s="61"/>
      <c r="H43" s="62"/>
      <c r="I43" s="62"/>
      <c r="J43" s="62"/>
      <c r="K43" s="62"/>
      <c r="L43" s="89"/>
      <c r="M43" s="90"/>
    </row>
    <row r="44" s="3" customFormat="1" ht="33" customHeight="1" outlineLevel="1" spans="1:13">
      <c r="A44" s="24">
        <v>1</v>
      </c>
      <c r="B44" s="76" t="s">
        <v>295</v>
      </c>
      <c r="C44" s="76" t="s">
        <v>296</v>
      </c>
      <c r="D44" s="27" t="s">
        <v>297</v>
      </c>
      <c r="E44" s="28" t="s">
        <v>211</v>
      </c>
      <c r="F44" s="29">
        <v>16660.87</v>
      </c>
      <c r="G44" s="65"/>
      <c r="H44" s="65"/>
      <c r="I44" s="42">
        <f>SUM(G44:H44)*$I$4</f>
        <v>0</v>
      </c>
      <c r="J44" s="42">
        <f>SUM(G44:I44)*$J$4</f>
        <v>0</v>
      </c>
      <c r="K44" s="42">
        <f t="shared" ref="K44:K46" si="6">SUM(G44:J44)</f>
        <v>0</v>
      </c>
      <c r="L44" s="42">
        <f t="shared" ref="L44:L46" si="7">F44*K44</f>
        <v>0</v>
      </c>
      <c r="M44" s="91" t="s">
        <v>298</v>
      </c>
    </row>
    <row r="45" s="3" customFormat="1" ht="33" customHeight="1" outlineLevel="1" spans="1:13">
      <c r="A45" s="24">
        <v>2</v>
      </c>
      <c r="B45" s="76" t="s">
        <v>299</v>
      </c>
      <c r="C45" s="76" t="s">
        <v>300</v>
      </c>
      <c r="D45" s="27" t="s">
        <v>297</v>
      </c>
      <c r="E45" s="28" t="s">
        <v>211</v>
      </c>
      <c r="F45" s="29">
        <v>16660.87</v>
      </c>
      <c r="G45" s="65"/>
      <c r="H45" s="65"/>
      <c r="I45" s="42">
        <f>SUM(G45:H45)*$I$4</f>
        <v>0</v>
      </c>
      <c r="J45" s="42">
        <f>SUM(G45:I45)*$J$4</f>
        <v>0</v>
      </c>
      <c r="K45" s="42">
        <f t="shared" si="6"/>
        <v>0</v>
      </c>
      <c r="L45" s="42">
        <f t="shared" si="7"/>
        <v>0</v>
      </c>
      <c r="M45" s="91" t="s">
        <v>301</v>
      </c>
    </row>
    <row r="46" s="3" customFormat="1" ht="33" customHeight="1" outlineLevel="1" spans="1:13">
      <c r="A46" s="24">
        <v>3</v>
      </c>
      <c r="B46" s="76" t="s">
        <v>302</v>
      </c>
      <c r="C46" s="76" t="s">
        <v>302</v>
      </c>
      <c r="D46" s="27" t="s">
        <v>297</v>
      </c>
      <c r="E46" s="28" t="s">
        <v>211</v>
      </c>
      <c r="F46" s="29">
        <v>16660.87</v>
      </c>
      <c r="G46" s="65"/>
      <c r="H46" s="65"/>
      <c r="I46" s="42">
        <f>SUM(G46:H46)*$I$4</f>
        <v>0</v>
      </c>
      <c r="J46" s="42">
        <f>SUM(G46:I46)*$J$4</f>
        <v>0</v>
      </c>
      <c r="K46" s="42">
        <f t="shared" si="6"/>
        <v>0</v>
      </c>
      <c r="L46" s="42">
        <f t="shared" si="7"/>
        <v>0</v>
      </c>
      <c r="M46" s="91" t="s">
        <v>303</v>
      </c>
    </row>
    <row r="47" ht="24.9" customHeight="1" spans="1:13">
      <c r="A47" s="77"/>
      <c r="B47" s="78" t="s">
        <v>63</v>
      </c>
      <c r="C47" s="79"/>
      <c r="D47" s="80"/>
      <c r="E47" s="80"/>
      <c r="F47" s="81"/>
      <c r="G47" s="81"/>
      <c r="H47" s="82"/>
      <c r="I47" s="82"/>
      <c r="J47" s="82"/>
      <c r="K47" s="82"/>
      <c r="L47" s="95">
        <f>SUM(L5:L46)</f>
        <v>0</v>
      </c>
      <c r="M47" s="96"/>
    </row>
    <row r="48" ht="20.1" customHeight="1" spans="1:7">
      <c r="A48" s="83"/>
      <c r="B48" s="84"/>
      <c r="C48" s="83"/>
      <c r="D48" s="83"/>
      <c r="E48" s="83"/>
      <c r="F48" s="85"/>
      <c r="G48" s="83"/>
    </row>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sheetData>
  <sheetProtection formatCells="0" insertHyperlinks="0" autoFilter="0"/>
  <protectedRanges>
    <protectedRange sqref="B16" name="区域2_1_1_3_2_1"/>
  </protectedRanges>
  <autoFilter ref="A2:O63">
    <extLst/>
  </autoFilter>
  <mergeCells count="18">
    <mergeCell ref="A1:M1"/>
    <mergeCell ref="G2:J2"/>
    <mergeCell ref="B5:C5"/>
    <mergeCell ref="B17:C17"/>
    <mergeCell ref="B31:C31"/>
    <mergeCell ref="B43:C43"/>
    <mergeCell ref="B47:C47"/>
    <mergeCell ref="A2:A4"/>
    <mergeCell ref="B2:B4"/>
    <mergeCell ref="C2:C4"/>
    <mergeCell ref="D2:D4"/>
    <mergeCell ref="E2:E4"/>
    <mergeCell ref="F2:F4"/>
    <mergeCell ref="G3:G4"/>
    <mergeCell ref="H3:H4"/>
    <mergeCell ref="K2:K4"/>
    <mergeCell ref="L2:L4"/>
    <mergeCell ref="M2:M4"/>
  </mergeCells>
  <printOptions horizontalCentered="1"/>
  <pageMargins left="0" right="0" top="0.275" bottom="0.236111111111111" header="0.156944444444444" footer="0.118055555555556"/>
  <pageSetup paperSize="9" scale="88" orientation="landscape"/>
  <headerFooter>
    <oddFooter>&amp;C第 &amp;P 页，共 &amp;N 页</oddFooter>
  </headerFooter>
  <rowBreaks count="4" manualBreakCount="4">
    <brk id="47" max="12" man="1"/>
    <brk id="52" max="16383" man="1"/>
    <brk id="53" max="16383" man="1"/>
    <brk id="5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view="pageBreakPreview" zoomScale="115" zoomScaleNormal="100" topLeftCell="A8" workbookViewId="0">
      <selection activeCell="E50" sqref="E50"/>
    </sheetView>
  </sheetViews>
  <sheetFormatPr defaultColWidth="9" defaultRowHeight="14"/>
  <cols>
    <col min="1" max="1" width="11.7818181818182" style="423" customWidth="1"/>
    <col min="2" max="2" width="9" style="424" customWidth="1"/>
    <col min="3" max="3" width="6.89090909090909" style="424" customWidth="1"/>
    <col min="4" max="4" width="21" style="423" customWidth="1"/>
    <col min="5" max="5" width="14" style="423" customWidth="1"/>
    <col min="6" max="6" width="15" style="423" customWidth="1"/>
    <col min="7" max="7" width="13" style="423" customWidth="1"/>
    <col min="8" max="8" width="15.6636363636364" style="424" customWidth="1"/>
    <col min="9" max="16384" width="9" style="423"/>
  </cols>
  <sheetData>
    <row r="1" ht="31.05" customHeight="1" spans="1:8">
      <c r="A1" s="425" t="s">
        <v>35</v>
      </c>
      <c r="B1" s="425"/>
      <c r="C1" s="425"/>
      <c r="D1" s="425"/>
      <c r="E1" s="425"/>
      <c r="F1" s="425"/>
      <c r="G1" s="425"/>
      <c r="H1" s="425"/>
    </row>
    <row r="2" ht="28" spans="1:8">
      <c r="A2" s="426" t="s">
        <v>36</v>
      </c>
      <c r="B2" s="427" t="s">
        <v>37</v>
      </c>
      <c r="C2" s="427" t="s">
        <v>38</v>
      </c>
      <c r="D2" s="426" t="s">
        <v>39</v>
      </c>
      <c r="E2" s="426" t="s">
        <v>40</v>
      </c>
      <c r="F2" s="426" t="s">
        <v>41</v>
      </c>
      <c r="G2" s="427" t="s">
        <v>42</v>
      </c>
      <c r="H2" s="427" t="s">
        <v>43</v>
      </c>
    </row>
    <row r="3" s="420" customFormat="1" spans="1:8">
      <c r="A3" s="428" t="s">
        <v>44</v>
      </c>
      <c r="B3" s="429" t="s">
        <v>45</v>
      </c>
      <c r="C3" s="429">
        <v>4</v>
      </c>
      <c r="D3" s="430" t="s">
        <v>46</v>
      </c>
      <c r="E3" s="431">
        <f>[2]楼栋报价汇总表!D41</f>
        <v>12214.11</v>
      </c>
      <c r="F3" s="432" t="e">
        <f>+[2]楼栋报价汇总表!E41</f>
        <v>#REF!</v>
      </c>
      <c r="G3" s="432" t="e">
        <f t="shared" ref="G3:G20" si="0">+F3/E3</f>
        <v>#REF!</v>
      </c>
      <c r="H3" s="433"/>
    </row>
    <row r="4" spans="1:8">
      <c r="A4" s="428"/>
      <c r="B4" s="434"/>
      <c r="C4" s="434"/>
      <c r="D4" s="430" t="s">
        <v>47</v>
      </c>
      <c r="E4" s="431">
        <f>[2]楼栋报价汇总表!D3</f>
        <v>9295.32</v>
      </c>
      <c r="F4" s="435">
        <f>[2]楼栋报价汇总表!E4</f>
        <v>0</v>
      </c>
      <c r="G4" s="432">
        <f t="shared" si="0"/>
        <v>0</v>
      </c>
      <c r="H4" s="427"/>
    </row>
    <row r="5" spans="1:8">
      <c r="A5" s="428"/>
      <c r="B5" s="434"/>
      <c r="C5" s="434"/>
      <c r="D5" s="430" t="s">
        <v>48</v>
      </c>
      <c r="E5" s="431">
        <f>E4</f>
        <v>9295.32</v>
      </c>
      <c r="F5" s="435">
        <f>[2]楼栋报价汇总表!E4</f>
        <v>0</v>
      </c>
      <c r="G5" s="432">
        <f t="shared" si="0"/>
        <v>0</v>
      </c>
      <c r="H5" s="427"/>
    </row>
    <row r="6" spans="1:8">
      <c r="A6" s="428"/>
      <c r="B6" s="434"/>
      <c r="C6" s="436"/>
      <c r="D6" s="430" t="s">
        <v>49</v>
      </c>
      <c r="E6" s="431">
        <f>[2]楼栋报价汇总表!D5</f>
        <v>9295.32</v>
      </c>
      <c r="F6" s="435">
        <f>[2]楼栋报价汇总表!E5</f>
        <v>0</v>
      </c>
      <c r="G6" s="432">
        <f t="shared" si="0"/>
        <v>0</v>
      </c>
      <c r="H6" s="427"/>
    </row>
    <row r="7" spans="1:8">
      <c r="A7" s="428"/>
      <c r="B7" s="434"/>
      <c r="C7" s="429">
        <v>8</v>
      </c>
      <c r="D7" s="430" t="s">
        <v>50</v>
      </c>
      <c r="E7" s="431">
        <f>[2]楼栋报价汇总表!D30</f>
        <v>14550.64</v>
      </c>
      <c r="F7" s="435" t="e">
        <f>[2]楼栋报价汇总表!E30</f>
        <v>#REF!</v>
      </c>
      <c r="G7" s="432" t="e">
        <f t="shared" si="0"/>
        <v>#REF!</v>
      </c>
      <c r="H7" s="427"/>
    </row>
    <row r="8" spans="1:8">
      <c r="A8" s="428"/>
      <c r="B8" s="434"/>
      <c r="C8" s="434"/>
      <c r="D8" s="430" t="s">
        <v>51</v>
      </c>
      <c r="E8" s="431">
        <f>[2]楼栋报价汇总表!D25</f>
        <v>13157.01</v>
      </c>
      <c r="F8" s="435">
        <f>[2]楼栋报价汇总表!E25</f>
        <v>0</v>
      </c>
      <c r="G8" s="432">
        <f t="shared" si="0"/>
        <v>0</v>
      </c>
      <c r="H8" s="427"/>
    </row>
    <row r="9" spans="1:8">
      <c r="A9" s="428"/>
      <c r="B9" s="434"/>
      <c r="C9" s="434"/>
      <c r="D9" s="430" t="s">
        <v>52</v>
      </c>
      <c r="E9" s="431">
        <f>[2]楼栋报价汇总表!D26</f>
        <v>13157.01</v>
      </c>
      <c r="F9" s="435">
        <f>[2]楼栋报价汇总表!E26</f>
        <v>0</v>
      </c>
      <c r="G9" s="432">
        <f t="shared" si="0"/>
        <v>0</v>
      </c>
      <c r="H9" s="427"/>
    </row>
    <row r="10" spans="1:8">
      <c r="A10" s="428"/>
      <c r="B10" s="434"/>
      <c r="C10" s="436"/>
      <c r="D10" s="430" t="s">
        <v>53</v>
      </c>
      <c r="E10" s="431">
        <f>[2]楼栋报价汇总表!D27</f>
        <v>13157.01</v>
      </c>
      <c r="F10" s="435">
        <f>[2]楼栋报价汇总表!E27</f>
        <v>0</v>
      </c>
      <c r="G10" s="432">
        <f t="shared" si="0"/>
        <v>0</v>
      </c>
      <c r="H10" s="427"/>
    </row>
    <row r="11" spans="1:8">
      <c r="A11" s="428"/>
      <c r="B11" s="434"/>
      <c r="C11" s="434">
        <v>6</v>
      </c>
      <c r="D11" s="430" t="s">
        <v>54</v>
      </c>
      <c r="E11" s="431">
        <f>[2]楼栋报价汇总表!D24</f>
        <v>13157.01</v>
      </c>
      <c r="F11" s="431">
        <f>[2]楼栋报价汇总表!E24</f>
        <v>0</v>
      </c>
      <c r="G11" s="432">
        <f t="shared" si="0"/>
        <v>0</v>
      </c>
      <c r="H11" s="427"/>
    </row>
    <row r="12" spans="1:8">
      <c r="A12" s="428"/>
      <c r="B12" s="434"/>
      <c r="C12" s="434"/>
      <c r="D12" s="430" t="s">
        <v>55</v>
      </c>
      <c r="E12" s="431">
        <f>[2]楼栋报价汇总表!D28</f>
        <v>13157.01</v>
      </c>
      <c r="F12" s="431">
        <f>[2]楼栋报价汇总表!E28</f>
        <v>0</v>
      </c>
      <c r="G12" s="432">
        <f t="shared" si="0"/>
        <v>0</v>
      </c>
      <c r="H12" s="427"/>
    </row>
    <row r="13" spans="1:8">
      <c r="A13" s="428"/>
      <c r="B13" s="434"/>
      <c r="C13" s="436"/>
      <c r="D13" s="430" t="s">
        <v>56</v>
      </c>
      <c r="E13" s="431">
        <f>[2]楼栋报价汇总表!D29</f>
        <v>13157.01</v>
      </c>
      <c r="F13" s="431">
        <f>[2]楼栋报价汇总表!E29</f>
        <v>0</v>
      </c>
      <c r="G13" s="432">
        <f t="shared" si="0"/>
        <v>0</v>
      </c>
      <c r="H13" s="427"/>
    </row>
    <row r="14" spans="1:8">
      <c r="A14" s="428"/>
      <c r="B14" s="434"/>
      <c r="C14" s="429">
        <v>8</v>
      </c>
      <c r="D14" s="430" t="s">
        <v>57</v>
      </c>
      <c r="E14" s="431">
        <f>[2]楼栋报价汇总表!D34</f>
        <v>16609.44</v>
      </c>
      <c r="F14" s="431">
        <f>[2]楼栋报价汇总表!E34</f>
        <v>0</v>
      </c>
      <c r="G14" s="432">
        <f t="shared" si="0"/>
        <v>0</v>
      </c>
      <c r="H14" s="427"/>
    </row>
    <row r="15" spans="1:8">
      <c r="A15" s="428"/>
      <c r="B15" s="434"/>
      <c r="C15" s="434"/>
      <c r="D15" s="430" t="s">
        <v>58</v>
      </c>
      <c r="E15" s="431">
        <f>[2]楼栋报价汇总表!D33</f>
        <v>16609.44</v>
      </c>
      <c r="F15" s="431">
        <f>[2]楼栋报价汇总表!E33</f>
        <v>0</v>
      </c>
      <c r="G15" s="432">
        <f t="shared" si="0"/>
        <v>0</v>
      </c>
      <c r="H15" s="427"/>
    </row>
    <row r="16" spans="1:8">
      <c r="A16" s="428"/>
      <c r="B16" s="434"/>
      <c r="C16" s="434"/>
      <c r="D16" s="430" t="s">
        <v>59</v>
      </c>
      <c r="E16" s="431">
        <f>[2]楼栋报价汇总表!D22</f>
        <v>6359.48</v>
      </c>
      <c r="F16" s="431">
        <f>[2]楼栋报价汇总表!E22</f>
        <v>0</v>
      </c>
      <c r="G16" s="432">
        <f t="shared" si="0"/>
        <v>0</v>
      </c>
      <c r="H16" s="427"/>
    </row>
    <row r="17" spans="1:8">
      <c r="A17" s="428"/>
      <c r="B17" s="434"/>
      <c r="C17" s="434"/>
      <c r="D17" s="430" t="s">
        <v>60</v>
      </c>
      <c r="E17" s="431">
        <f>[2]楼栋报价汇总表!D23</f>
        <v>6359.48</v>
      </c>
      <c r="F17" s="431">
        <f>[2]楼栋报价汇总表!E23</f>
        <v>0</v>
      </c>
      <c r="G17" s="432">
        <f t="shared" si="0"/>
        <v>0</v>
      </c>
      <c r="H17" s="427"/>
    </row>
    <row r="18" spans="1:8">
      <c r="A18" s="428"/>
      <c r="B18" s="434"/>
      <c r="C18" s="434"/>
      <c r="D18" s="430" t="s">
        <v>61</v>
      </c>
      <c r="E18" s="431">
        <f>[2]楼栋报价汇总表!D6</f>
        <v>8116.02</v>
      </c>
      <c r="F18" s="431">
        <f>[2]楼栋报价汇总表!E6</f>
        <v>0</v>
      </c>
      <c r="G18" s="432">
        <f t="shared" si="0"/>
        <v>0</v>
      </c>
      <c r="H18" s="427"/>
    </row>
    <row r="19" spans="1:8">
      <c r="A19" s="428"/>
      <c r="B19" s="434"/>
      <c r="C19" s="434"/>
      <c r="D19" s="430" t="s">
        <v>62</v>
      </c>
      <c r="E19" s="431">
        <f>[2]楼栋报价汇总表!D7</f>
        <v>8116.02</v>
      </c>
      <c r="F19" s="431">
        <f>[2]楼栋报价汇总表!E7</f>
        <v>0</v>
      </c>
      <c r="G19" s="432">
        <f t="shared" si="0"/>
        <v>0</v>
      </c>
      <c r="H19" s="427"/>
    </row>
    <row r="20" s="421" customFormat="1" ht="19.05" customHeight="1" spans="1:8">
      <c r="A20" s="437"/>
      <c r="B20" s="438"/>
      <c r="C20" s="438">
        <v>26</v>
      </c>
      <c r="D20" s="439" t="s">
        <v>63</v>
      </c>
      <c r="E20" s="440">
        <f>SUM(E3:E19)</f>
        <v>195762.65</v>
      </c>
      <c r="F20" s="440" t="e">
        <f>SUM(F3:F19)</f>
        <v>#REF!</v>
      </c>
      <c r="G20" s="441" t="e">
        <f t="shared" si="0"/>
        <v>#REF!</v>
      </c>
      <c r="H20" s="442"/>
    </row>
    <row r="21" ht="28" spans="1:8">
      <c r="A21" s="443" t="s">
        <v>64</v>
      </c>
      <c r="B21" s="444" t="s">
        <v>65</v>
      </c>
      <c r="C21" s="444">
        <v>7</v>
      </c>
      <c r="D21" s="445" t="s">
        <v>66</v>
      </c>
      <c r="E21" s="446"/>
      <c r="F21" s="446"/>
      <c r="G21" s="446"/>
      <c r="H21" s="447" t="s">
        <v>67</v>
      </c>
    </row>
    <row r="22" spans="1:8">
      <c r="A22" s="448"/>
      <c r="B22" s="449"/>
      <c r="C22" s="449"/>
      <c r="D22" s="445" t="s">
        <v>68</v>
      </c>
      <c r="E22" s="450">
        <f>[2]楼栋报价汇总表!D10</f>
        <v>8116.02</v>
      </c>
      <c r="F22" s="451">
        <f>[2]楼栋报价汇总表!E10</f>
        <v>0</v>
      </c>
      <c r="G22" s="451">
        <f t="shared" ref="G22:G46" si="1">+F22/E22</f>
        <v>0</v>
      </c>
      <c r="H22" s="452"/>
    </row>
    <row r="23" spans="1:8">
      <c r="A23" s="448"/>
      <c r="B23" s="449"/>
      <c r="C23" s="449"/>
      <c r="D23" s="445" t="s">
        <v>69</v>
      </c>
      <c r="E23" s="451">
        <f>[2]楼栋报价汇总表!D9</f>
        <v>8116.02</v>
      </c>
      <c r="F23" s="451">
        <f>[2]楼栋报价汇总表!E9</f>
        <v>0</v>
      </c>
      <c r="G23" s="451">
        <f t="shared" si="1"/>
        <v>0</v>
      </c>
      <c r="H23" s="452"/>
    </row>
    <row r="24" spans="1:8">
      <c r="A24" s="448"/>
      <c r="B24" s="449"/>
      <c r="C24" s="449"/>
      <c r="D24" s="445" t="s">
        <v>70</v>
      </c>
      <c r="E24" s="451">
        <f>[2]楼栋报价汇总表!D14</f>
        <v>6359.48</v>
      </c>
      <c r="F24" s="451">
        <f>[2]楼栋报价汇总表!E14</f>
        <v>0</v>
      </c>
      <c r="G24" s="451">
        <f t="shared" si="1"/>
        <v>0</v>
      </c>
      <c r="H24" s="452"/>
    </row>
    <row r="25" spans="1:8">
      <c r="A25" s="448"/>
      <c r="B25" s="449"/>
      <c r="C25" s="449"/>
      <c r="D25" s="445" t="s">
        <v>71</v>
      </c>
      <c r="E25" s="451">
        <f>[2]楼栋报价汇总表!D13</f>
        <v>6359.48</v>
      </c>
      <c r="F25" s="451">
        <f>[2]楼栋报价汇总表!E13</f>
        <v>0</v>
      </c>
      <c r="G25" s="451">
        <f t="shared" si="1"/>
        <v>0</v>
      </c>
      <c r="H25" s="452"/>
    </row>
    <row r="26" spans="1:8">
      <c r="A26" s="448"/>
      <c r="B26" s="453"/>
      <c r="C26" s="453"/>
      <c r="D26" s="445" t="s">
        <v>72</v>
      </c>
      <c r="E26" s="451">
        <f>[2]楼栋报价汇总表!D31</f>
        <v>16609.44</v>
      </c>
      <c r="F26" s="451" t="e">
        <f>[2]楼栋报价汇总表!E31</f>
        <v>#REF!</v>
      </c>
      <c r="G26" s="451" t="e">
        <f t="shared" si="1"/>
        <v>#REF!</v>
      </c>
      <c r="H26" s="452"/>
    </row>
    <row r="27" s="422" customFormat="1" ht="19.95" customHeight="1" spans="1:15">
      <c r="A27" s="454"/>
      <c r="B27" s="455"/>
      <c r="C27" s="455">
        <v>7</v>
      </c>
      <c r="D27" s="456" t="s">
        <v>63</v>
      </c>
      <c r="E27" s="457">
        <f>SUM(E21:E26)</f>
        <v>45560.44</v>
      </c>
      <c r="F27" s="457" t="e">
        <f>SUM(F21:F26)</f>
        <v>#REF!</v>
      </c>
      <c r="G27" s="457" t="e">
        <f t="shared" si="1"/>
        <v>#REF!</v>
      </c>
      <c r="H27" s="455"/>
      <c r="I27" s="421"/>
      <c r="J27" s="421"/>
      <c r="K27" s="421"/>
      <c r="L27" s="421"/>
      <c r="M27" s="421"/>
      <c r="N27" s="421"/>
      <c r="O27" s="421"/>
    </row>
    <row r="28" spans="1:8">
      <c r="A28" s="458" t="s">
        <v>73</v>
      </c>
      <c r="B28" s="459" t="s">
        <v>65</v>
      </c>
      <c r="C28" s="459">
        <v>4</v>
      </c>
      <c r="D28" s="460" t="s">
        <v>74</v>
      </c>
      <c r="E28" s="461">
        <f>[2]楼栋报价汇总表!D32</f>
        <v>16609.44</v>
      </c>
      <c r="F28" s="461">
        <f>[2]楼栋报价汇总表!E32</f>
        <v>0</v>
      </c>
      <c r="G28" s="461">
        <f t="shared" si="1"/>
        <v>0</v>
      </c>
      <c r="H28" s="459"/>
    </row>
    <row r="29" spans="1:8">
      <c r="A29" s="458"/>
      <c r="B29" s="459"/>
      <c r="C29" s="459"/>
      <c r="D29" s="460" t="s">
        <v>75</v>
      </c>
      <c r="E29" s="461">
        <f>[2]楼栋报价汇总表!D12</f>
        <v>6359.48</v>
      </c>
      <c r="F29" s="461">
        <f>[2]楼栋报价汇总表!E12</f>
        <v>0</v>
      </c>
      <c r="G29" s="461">
        <f t="shared" si="1"/>
        <v>0</v>
      </c>
      <c r="H29" s="459"/>
    </row>
    <row r="30" spans="1:8">
      <c r="A30" s="458"/>
      <c r="B30" s="459"/>
      <c r="C30" s="459"/>
      <c r="D30" s="460" t="s">
        <v>76</v>
      </c>
      <c r="E30" s="461">
        <f>[2]楼栋报价汇总表!D19</f>
        <v>6359.48</v>
      </c>
      <c r="F30" s="461">
        <f>[2]楼栋报价汇总表!E19</f>
        <v>0</v>
      </c>
      <c r="G30" s="461">
        <f t="shared" si="1"/>
        <v>0</v>
      </c>
      <c r="H30" s="459"/>
    </row>
    <row r="31" spans="1:8">
      <c r="A31" s="458"/>
      <c r="B31" s="459" t="s">
        <v>65</v>
      </c>
      <c r="C31" s="459">
        <v>4</v>
      </c>
      <c r="D31" s="460" t="s">
        <v>77</v>
      </c>
      <c r="E31" s="461">
        <f>[2]楼栋报价汇总表!D42</f>
        <v>18485.5</v>
      </c>
      <c r="F31" s="461">
        <f>[2]楼栋报价汇总表!E42</f>
        <v>0</v>
      </c>
      <c r="G31" s="461">
        <f t="shared" si="1"/>
        <v>0</v>
      </c>
      <c r="H31" s="459"/>
    </row>
    <row r="32" spans="1:8">
      <c r="A32" s="458"/>
      <c r="B32" s="459"/>
      <c r="C32" s="459"/>
      <c r="D32" s="460" t="s">
        <v>78</v>
      </c>
      <c r="E32" s="461">
        <f>[2]楼栋报价汇总表!D15</f>
        <v>6359.48</v>
      </c>
      <c r="F32" s="461">
        <f>[2]楼栋报价汇总表!E15</f>
        <v>0</v>
      </c>
      <c r="G32" s="461">
        <f t="shared" si="1"/>
        <v>0</v>
      </c>
      <c r="H32" s="459"/>
    </row>
    <row r="33" spans="1:8">
      <c r="A33" s="458"/>
      <c r="B33" s="459"/>
      <c r="C33" s="459"/>
      <c r="D33" s="460" t="s">
        <v>79</v>
      </c>
      <c r="E33" s="461">
        <f>[2]楼栋报价汇总表!D16</f>
        <v>6359.48</v>
      </c>
      <c r="F33" s="461">
        <f>[2]楼栋报价汇总表!E16</f>
        <v>0</v>
      </c>
      <c r="G33" s="461">
        <f t="shared" si="1"/>
        <v>0</v>
      </c>
      <c r="H33" s="459"/>
    </row>
    <row r="34" spans="1:8">
      <c r="A34" s="458"/>
      <c r="B34" s="459" t="s">
        <v>65</v>
      </c>
      <c r="C34" s="459">
        <v>4</v>
      </c>
      <c r="D34" s="460" t="s">
        <v>80</v>
      </c>
      <c r="E34" s="461">
        <f>[2]楼栋报价汇总表!D17</f>
        <v>6359.48</v>
      </c>
      <c r="F34" s="461">
        <f>[2]楼栋报价汇总表!E17</f>
        <v>0</v>
      </c>
      <c r="G34" s="461">
        <f t="shared" si="1"/>
        <v>0</v>
      </c>
      <c r="H34" s="459"/>
    </row>
    <row r="35" spans="1:8">
      <c r="A35" s="458"/>
      <c r="B35" s="459"/>
      <c r="C35" s="459"/>
      <c r="D35" s="460" t="s">
        <v>81</v>
      </c>
      <c r="E35" s="461">
        <f>[2]楼栋报价汇总表!D18</f>
        <v>6359.48</v>
      </c>
      <c r="F35" s="461">
        <f>[2]楼栋报价汇总表!E18</f>
        <v>0</v>
      </c>
      <c r="G35" s="461">
        <f t="shared" si="1"/>
        <v>0</v>
      </c>
      <c r="H35" s="459"/>
    </row>
    <row r="36" s="420" customFormat="1" spans="1:8">
      <c r="A36" s="458"/>
      <c r="B36" s="459"/>
      <c r="C36" s="459"/>
      <c r="D36" s="460" t="s">
        <v>82</v>
      </c>
      <c r="E36" s="461">
        <f>[2]楼栋报价汇总表!D38</f>
        <v>16764.81</v>
      </c>
      <c r="F36" s="461" t="e">
        <f>[2]楼栋报价汇总表!E38</f>
        <v>#REF!</v>
      </c>
      <c r="G36" s="461" t="e">
        <f t="shared" si="1"/>
        <v>#REF!</v>
      </c>
      <c r="H36" s="459"/>
    </row>
    <row r="37" spans="1:8">
      <c r="A37" s="458"/>
      <c r="B37" s="459" t="s">
        <v>65</v>
      </c>
      <c r="C37" s="459">
        <v>1</v>
      </c>
      <c r="D37" s="460" t="s">
        <v>83</v>
      </c>
      <c r="E37" s="461">
        <f>[2]楼栋报价汇总表!D39</f>
        <v>47884.95</v>
      </c>
      <c r="F37" s="461" t="e">
        <f>[2]楼栋报价汇总表!E39</f>
        <v>#REF!</v>
      </c>
      <c r="G37" s="461" t="e">
        <f t="shared" si="1"/>
        <v>#REF!</v>
      </c>
      <c r="H37" s="459"/>
    </row>
    <row r="38" s="421" customFormat="1" ht="22.95" customHeight="1" spans="1:8">
      <c r="A38" s="462"/>
      <c r="B38" s="463"/>
      <c r="C38" s="464">
        <v>13</v>
      </c>
      <c r="D38" s="465" t="s">
        <v>63</v>
      </c>
      <c r="E38" s="466">
        <f>SUM(E28:E37)</f>
        <v>137901.58</v>
      </c>
      <c r="F38" s="466" t="e">
        <f>SUM(F28:F37)</f>
        <v>#REF!</v>
      </c>
      <c r="G38" s="466" t="e">
        <f t="shared" si="1"/>
        <v>#REF!</v>
      </c>
      <c r="H38" s="464"/>
    </row>
    <row r="39" spans="1:8">
      <c r="A39" s="467" t="s">
        <v>84</v>
      </c>
      <c r="B39" s="468" t="s">
        <v>45</v>
      </c>
      <c r="C39" s="468">
        <v>4</v>
      </c>
      <c r="D39" s="469" t="s">
        <v>85</v>
      </c>
      <c r="E39" s="470">
        <f>[2]楼栋报价汇总表!D35</f>
        <v>16609.44</v>
      </c>
      <c r="F39" s="470">
        <f>[2]楼栋报价汇总表!E35</f>
        <v>0</v>
      </c>
      <c r="G39" s="470">
        <f t="shared" si="1"/>
        <v>0</v>
      </c>
      <c r="H39" s="471"/>
    </row>
    <row r="40" spans="1:8">
      <c r="A40" s="472"/>
      <c r="B40" s="473"/>
      <c r="C40" s="473"/>
      <c r="D40" s="469" t="s">
        <v>86</v>
      </c>
      <c r="E40" s="470">
        <f>[2]楼栋报价汇总表!D37</f>
        <v>16609.44</v>
      </c>
      <c r="F40" s="470">
        <f>[2]楼栋报价汇总表!E37</f>
        <v>0</v>
      </c>
      <c r="G40" s="470">
        <f t="shared" si="1"/>
        <v>0</v>
      </c>
      <c r="H40" s="471"/>
    </row>
    <row r="41" spans="1:8">
      <c r="A41" s="472"/>
      <c r="B41" s="468" t="s">
        <v>45</v>
      </c>
      <c r="C41" s="468">
        <v>6</v>
      </c>
      <c r="D41" s="469" t="s">
        <v>87</v>
      </c>
      <c r="E41" s="470">
        <f>[2]楼栋报价汇总表!D8</f>
        <v>8116.02</v>
      </c>
      <c r="F41" s="470">
        <f>[2]楼栋报价汇总表!E8</f>
        <v>0</v>
      </c>
      <c r="G41" s="470">
        <f t="shared" si="1"/>
        <v>0</v>
      </c>
      <c r="H41" s="471"/>
    </row>
    <row r="42" spans="1:8">
      <c r="A42" s="472"/>
      <c r="B42" s="474"/>
      <c r="C42" s="474"/>
      <c r="D42" s="469" t="s">
        <v>88</v>
      </c>
      <c r="E42" s="470">
        <f>[2]楼栋报价汇总表!D11</f>
        <v>8116.02</v>
      </c>
      <c r="F42" s="470">
        <f>[2]楼栋报价汇总表!E11</f>
        <v>0</v>
      </c>
      <c r="G42" s="470">
        <f t="shared" si="1"/>
        <v>0</v>
      </c>
      <c r="H42" s="471"/>
    </row>
    <row r="43" spans="1:8">
      <c r="A43" s="472"/>
      <c r="B43" s="474"/>
      <c r="C43" s="474"/>
      <c r="D43" s="469" t="s">
        <v>89</v>
      </c>
      <c r="E43" s="470">
        <f>[2]楼栋报价汇总表!D17</f>
        <v>6359.48</v>
      </c>
      <c r="F43" s="470">
        <f>[2]楼栋报价汇总表!E17</f>
        <v>0</v>
      </c>
      <c r="G43" s="470">
        <f t="shared" si="1"/>
        <v>0</v>
      </c>
      <c r="H43" s="471"/>
    </row>
    <row r="44" spans="1:8">
      <c r="A44" s="472"/>
      <c r="B44" s="474"/>
      <c r="C44" s="474"/>
      <c r="D44" s="469" t="s">
        <v>90</v>
      </c>
      <c r="E44" s="470">
        <f>[2]楼栋报价汇总表!D20</f>
        <v>6359.48</v>
      </c>
      <c r="F44" s="470">
        <f>[2]楼栋报价汇总表!E20</f>
        <v>0</v>
      </c>
      <c r="G44" s="470">
        <f t="shared" si="1"/>
        <v>0</v>
      </c>
      <c r="H44" s="471"/>
    </row>
    <row r="45" spans="1:8">
      <c r="A45" s="472"/>
      <c r="B45" s="473"/>
      <c r="C45" s="473"/>
      <c r="D45" s="469" t="s">
        <v>91</v>
      </c>
      <c r="E45" s="470">
        <f>[2]楼栋报价汇总表!D36</f>
        <v>16609.44</v>
      </c>
      <c r="F45" s="470">
        <f>[2]楼栋报价汇总表!E36</f>
        <v>0</v>
      </c>
      <c r="G45" s="470">
        <f t="shared" si="1"/>
        <v>0</v>
      </c>
      <c r="H45" s="471"/>
    </row>
    <row r="46" spans="1:8">
      <c r="A46" s="472"/>
      <c r="B46" s="471" t="s">
        <v>45</v>
      </c>
      <c r="C46" s="468">
        <v>2</v>
      </c>
      <c r="D46" s="469" t="s">
        <v>92</v>
      </c>
      <c r="E46" s="470">
        <f>[2]楼栋报价汇总表!D43</f>
        <v>9613.83</v>
      </c>
      <c r="F46" s="470">
        <f>[2]楼栋报价汇总表!E43</f>
        <v>0</v>
      </c>
      <c r="G46" s="470">
        <f t="shared" si="1"/>
        <v>0</v>
      </c>
      <c r="H46" s="471"/>
    </row>
    <row r="47" ht="28" spans="1:8">
      <c r="A47" s="472"/>
      <c r="B47" s="471" t="s">
        <v>65</v>
      </c>
      <c r="C47" s="473"/>
      <c r="D47" s="469" t="s">
        <v>93</v>
      </c>
      <c r="E47" s="475"/>
      <c r="F47" s="475"/>
      <c r="G47" s="475"/>
      <c r="H47" s="476" t="s">
        <v>67</v>
      </c>
    </row>
    <row r="48" spans="1:8">
      <c r="A48" s="472"/>
      <c r="B48" s="471" t="s">
        <v>45</v>
      </c>
      <c r="C48" s="471">
        <v>1</v>
      </c>
      <c r="D48" s="469" t="s">
        <v>94</v>
      </c>
      <c r="E48" s="470">
        <f>[2]楼栋报价汇总表!D40</f>
        <v>37704.38</v>
      </c>
      <c r="F48" s="470" t="e">
        <f>[2]楼栋报价汇总表!E40</f>
        <v>#REF!</v>
      </c>
      <c r="G48" s="470" t="e">
        <f t="shared" ref="G48:G50" si="2">+F48/E48</f>
        <v>#REF!</v>
      </c>
      <c r="H48" s="471"/>
    </row>
    <row r="49" s="421" customFormat="1" ht="22.05" customHeight="1" spans="1:8">
      <c r="A49" s="477"/>
      <c r="B49" s="478"/>
      <c r="C49" s="479">
        <v>13</v>
      </c>
      <c r="D49" s="480" t="s">
        <v>63</v>
      </c>
      <c r="E49" s="481">
        <f>SUM(E39:E48)</f>
        <v>126097.53</v>
      </c>
      <c r="F49" s="481" t="e">
        <f>SUM(F39:F48)</f>
        <v>#REF!</v>
      </c>
      <c r="G49" s="481" t="e">
        <f t="shared" si="2"/>
        <v>#REF!</v>
      </c>
      <c r="H49" s="479"/>
    </row>
    <row r="50" s="421" customFormat="1" ht="25.95" customHeight="1" spans="1:8">
      <c r="A50" s="482" t="s">
        <v>95</v>
      </c>
      <c r="B50" s="483"/>
      <c r="C50" s="442">
        <f t="shared" ref="C50:F50" si="3">+C20+C27+C38+C49</f>
        <v>59</v>
      </c>
      <c r="D50" s="484"/>
      <c r="E50" s="485">
        <f t="shared" si="3"/>
        <v>505322.2</v>
      </c>
      <c r="F50" s="485" t="e">
        <f t="shared" si="3"/>
        <v>#REF!</v>
      </c>
      <c r="G50" s="485" t="e">
        <f t="shared" si="2"/>
        <v>#REF!</v>
      </c>
      <c r="H50" s="442"/>
    </row>
  </sheetData>
  <mergeCells count="24">
    <mergeCell ref="A1:H1"/>
    <mergeCell ref="A50:B50"/>
    <mergeCell ref="A3:A20"/>
    <mergeCell ref="A21:A27"/>
    <mergeCell ref="A28:A38"/>
    <mergeCell ref="A39:A49"/>
    <mergeCell ref="B3:B19"/>
    <mergeCell ref="B21:B26"/>
    <mergeCell ref="B28:B30"/>
    <mergeCell ref="B31:B33"/>
    <mergeCell ref="B34:B36"/>
    <mergeCell ref="B39:B40"/>
    <mergeCell ref="B41:B45"/>
    <mergeCell ref="C3:C6"/>
    <mergeCell ref="C7:C10"/>
    <mergeCell ref="C11:C13"/>
    <mergeCell ref="C14:C19"/>
    <mergeCell ref="C21:C26"/>
    <mergeCell ref="C28:C30"/>
    <mergeCell ref="C31:C33"/>
    <mergeCell ref="C34:C36"/>
    <mergeCell ref="C39:C40"/>
    <mergeCell ref="C41:C45"/>
    <mergeCell ref="C46:C47"/>
  </mergeCells>
  <pageMargins left="0.75" right="0.75" top="1" bottom="1" header="0.5" footer="0.5"/>
  <pageSetup paperSize="9" scale="82"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M60"/>
  <sheetViews>
    <sheetView view="pageBreakPreview" zoomScale="70" zoomScaleNormal="100" workbookViewId="0">
      <pane ySplit="4" topLeftCell="A31" activePane="bottomLeft" state="frozen"/>
      <selection/>
      <selection pane="bottomLeft" activeCell="K33" sqref="K33"/>
    </sheetView>
  </sheetViews>
  <sheetFormatPr defaultColWidth="9" defaultRowHeight="14"/>
  <cols>
    <col min="1" max="1" width="5.66363636363636" style="3" customWidth="1"/>
    <col min="2" max="2" width="16.7818181818182" style="3" customWidth="1"/>
    <col min="3" max="3" width="44.6727272727273" style="3" customWidth="1"/>
    <col min="4" max="4" width="12.3363636363636" style="3" customWidth="1"/>
    <col min="5" max="5" width="5.66363636363636" style="3" customWidth="1"/>
    <col min="6" max="6" width="9.89090909090909" style="3" customWidth="1"/>
    <col min="7" max="7" width="7.55454545454545" style="3" customWidth="1"/>
    <col min="8" max="8" width="6.78181818181818" style="4" customWidth="1"/>
    <col min="9" max="10" width="7.89090909090909" style="4" customWidth="1"/>
    <col min="11" max="11" width="9.55454545454545" style="4" customWidth="1"/>
    <col min="12" max="12" width="9.33636363636364" style="4" customWidth="1"/>
    <col min="13" max="13" width="27.8909090909091" style="4" customWidth="1"/>
    <col min="14" max="16384" width="9" style="4"/>
  </cols>
  <sheetData>
    <row r="1" s="1" customFormat="1" ht="24.45" customHeight="1" spans="1:13">
      <c r="A1" s="5" t="s">
        <v>781</v>
      </c>
      <c r="B1" s="5"/>
      <c r="C1" s="5"/>
      <c r="D1" s="5"/>
      <c r="E1" s="5"/>
      <c r="F1" s="5"/>
      <c r="G1" s="5"/>
      <c r="H1" s="5"/>
      <c r="I1" s="5"/>
      <c r="J1" s="5"/>
      <c r="K1" s="5"/>
      <c r="L1" s="5"/>
      <c r="M1" s="5"/>
    </row>
    <row r="2" ht="42" customHeight="1" spans="1:13">
      <c r="A2" s="6" t="s">
        <v>97</v>
      </c>
      <c r="B2" s="6" t="s">
        <v>182</v>
      </c>
      <c r="C2" s="6" t="s">
        <v>183</v>
      </c>
      <c r="D2" s="6" t="s">
        <v>184</v>
      </c>
      <c r="E2" s="6" t="s">
        <v>125</v>
      </c>
      <c r="F2" s="6" t="s">
        <v>185</v>
      </c>
      <c r="G2" s="6" t="s">
        <v>186</v>
      </c>
      <c r="H2" s="7"/>
      <c r="I2" s="6"/>
      <c r="J2" s="40"/>
      <c r="K2" s="40" t="s">
        <v>187</v>
      </c>
      <c r="L2" s="40" t="s">
        <v>188</v>
      </c>
      <c r="M2" s="6" t="s">
        <v>43</v>
      </c>
    </row>
    <row r="3" ht="34.95" customHeight="1" spans="1:13">
      <c r="A3" s="6"/>
      <c r="B3" s="6"/>
      <c r="C3" s="6"/>
      <c r="D3" s="6"/>
      <c r="E3" s="6"/>
      <c r="F3" s="6"/>
      <c r="G3" s="6" t="s">
        <v>189</v>
      </c>
      <c r="H3" s="6" t="s">
        <v>190</v>
      </c>
      <c r="I3" s="40" t="s">
        <v>191</v>
      </c>
      <c r="J3" s="40" t="s">
        <v>192</v>
      </c>
      <c r="K3" s="40"/>
      <c r="L3" s="40"/>
      <c r="M3" s="6"/>
    </row>
    <row r="4" ht="34.95" customHeight="1" spans="1:13">
      <c r="A4" s="6"/>
      <c r="B4" s="6"/>
      <c r="C4" s="6"/>
      <c r="D4" s="6"/>
      <c r="E4" s="6"/>
      <c r="F4" s="6"/>
      <c r="G4" s="6"/>
      <c r="H4" s="6"/>
      <c r="I4" s="7"/>
      <c r="J4" s="7"/>
      <c r="K4" s="40"/>
      <c r="L4" s="40"/>
      <c r="M4" s="6"/>
    </row>
    <row r="5" ht="27" customHeight="1" spans="1:13">
      <c r="A5" s="8" t="s">
        <v>193</v>
      </c>
      <c r="B5" s="9" t="s">
        <v>782</v>
      </c>
      <c r="C5" s="8"/>
      <c r="D5" s="10"/>
      <c r="E5" s="10"/>
      <c r="F5" s="10"/>
      <c r="G5" s="11"/>
      <c r="H5" s="11"/>
      <c r="I5" s="11"/>
      <c r="J5" s="11"/>
      <c r="K5" s="11"/>
      <c r="L5" s="41"/>
      <c r="M5" s="11"/>
    </row>
    <row r="6" s="2" customFormat="1" ht="88.05" customHeight="1" outlineLevel="1" spans="1:13">
      <c r="A6" s="12">
        <v>1</v>
      </c>
      <c r="B6" s="13" t="s">
        <v>783</v>
      </c>
      <c r="C6" s="13" t="s">
        <v>784</v>
      </c>
      <c r="D6" s="14" t="s">
        <v>197</v>
      </c>
      <c r="E6" s="11" t="s">
        <v>198</v>
      </c>
      <c r="F6" s="15">
        <v>1944.88</v>
      </c>
      <c r="G6" s="16"/>
      <c r="H6" s="16"/>
      <c r="I6" s="41">
        <f>SUM(G6:H6)*$I$4</f>
        <v>0</v>
      </c>
      <c r="J6" s="41">
        <f>SUM(G6:I6)*$J$4</f>
        <v>0</v>
      </c>
      <c r="K6" s="41">
        <f t="shared" ref="K6:K16" si="0">SUM(G6:J6)</f>
        <v>0</v>
      </c>
      <c r="L6" s="41">
        <f t="shared" ref="L6:L16" si="1">F6*K6</f>
        <v>0</v>
      </c>
      <c r="M6" s="16" t="s">
        <v>203</v>
      </c>
    </row>
    <row r="7" s="2" customFormat="1" ht="84" customHeight="1" outlineLevel="1" spans="1:13">
      <c r="A7" s="12">
        <v>2</v>
      </c>
      <c r="B7" s="13" t="s">
        <v>785</v>
      </c>
      <c r="C7" s="13" t="s">
        <v>786</v>
      </c>
      <c r="D7" s="14" t="s">
        <v>197</v>
      </c>
      <c r="E7" s="11" t="s">
        <v>198</v>
      </c>
      <c r="F7" s="15">
        <v>134.84</v>
      </c>
      <c r="G7" s="16"/>
      <c r="H7" s="16"/>
      <c r="I7" s="41">
        <f>SUM(G7:H7)*$I$4</f>
        <v>0</v>
      </c>
      <c r="J7" s="41">
        <f>SUM(G7:I7)*$J$4</f>
        <v>0</v>
      </c>
      <c r="K7" s="41">
        <f t="shared" si="0"/>
        <v>0</v>
      </c>
      <c r="L7" s="41">
        <f t="shared" si="1"/>
        <v>0</v>
      </c>
      <c r="M7" s="16" t="s">
        <v>203</v>
      </c>
    </row>
    <row r="8" s="2" customFormat="1" ht="90" customHeight="1" outlineLevel="1" spans="1:13">
      <c r="A8" s="12">
        <v>3</v>
      </c>
      <c r="B8" s="13" t="s">
        <v>787</v>
      </c>
      <c r="C8" s="13" t="s">
        <v>788</v>
      </c>
      <c r="D8" s="14" t="s">
        <v>197</v>
      </c>
      <c r="E8" s="11" t="s">
        <v>198</v>
      </c>
      <c r="F8" s="15">
        <v>1829.92</v>
      </c>
      <c r="G8" s="16"/>
      <c r="H8" s="16"/>
      <c r="I8" s="41">
        <f>SUM(G8:H8)*$I$4</f>
        <v>0</v>
      </c>
      <c r="J8" s="41">
        <f>SUM(G8:I8)*$J$4</f>
        <v>0</v>
      </c>
      <c r="K8" s="41">
        <f t="shared" si="0"/>
        <v>0</v>
      </c>
      <c r="L8" s="41">
        <f t="shared" si="1"/>
        <v>0</v>
      </c>
      <c r="M8" s="16" t="s">
        <v>203</v>
      </c>
    </row>
    <row r="9" s="2" customFormat="1" ht="85.05" customHeight="1" outlineLevel="1" spans="1:13">
      <c r="A9" s="12">
        <v>4</v>
      </c>
      <c r="B9" s="13" t="s">
        <v>789</v>
      </c>
      <c r="C9" s="13" t="s">
        <v>790</v>
      </c>
      <c r="D9" s="14" t="s">
        <v>197</v>
      </c>
      <c r="E9" s="11" t="s">
        <v>198</v>
      </c>
      <c r="F9" s="15">
        <v>182.52</v>
      </c>
      <c r="G9" s="16"/>
      <c r="H9" s="16"/>
      <c r="I9" s="41">
        <f>SUM(G9:H9)*$I$4</f>
        <v>0</v>
      </c>
      <c r="J9" s="41">
        <f>SUM(G9:I9)*$J$4</f>
        <v>0</v>
      </c>
      <c r="K9" s="41">
        <f t="shared" si="0"/>
        <v>0</v>
      </c>
      <c r="L9" s="41">
        <f t="shared" si="1"/>
        <v>0</v>
      </c>
      <c r="M9" s="16" t="s">
        <v>203</v>
      </c>
    </row>
    <row r="10" s="2" customFormat="1" ht="90" customHeight="1" outlineLevel="1" spans="1:13">
      <c r="A10" s="12">
        <v>5</v>
      </c>
      <c r="B10" s="13" t="s">
        <v>791</v>
      </c>
      <c r="C10" s="13" t="s">
        <v>792</v>
      </c>
      <c r="D10" s="14" t="s">
        <v>197</v>
      </c>
      <c r="E10" s="11" t="s">
        <v>198</v>
      </c>
      <c r="F10" s="15">
        <f>676.41+12.46</f>
        <v>688.87</v>
      </c>
      <c r="G10" s="16"/>
      <c r="H10" s="16"/>
      <c r="I10" s="41">
        <f>SUM(G10:H10)*$I$4</f>
        <v>0</v>
      </c>
      <c r="J10" s="41">
        <f>SUM(G10:I10)*$J$4</f>
        <v>0</v>
      </c>
      <c r="K10" s="41">
        <f t="shared" si="0"/>
        <v>0</v>
      </c>
      <c r="L10" s="41">
        <f t="shared" si="1"/>
        <v>0</v>
      </c>
      <c r="M10" s="16" t="s">
        <v>203</v>
      </c>
    </row>
    <row r="11" s="2" customFormat="1" ht="87" customHeight="1" outlineLevel="1" spans="1:13">
      <c r="A11" s="12">
        <v>6</v>
      </c>
      <c r="B11" s="13" t="s">
        <v>793</v>
      </c>
      <c r="C11" s="13" t="s">
        <v>794</v>
      </c>
      <c r="D11" s="14" t="s">
        <v>197</v>
      </c>
      <c r="E11" s="11" t="s">
        <v>198</v>
      </c>
      <c r="F11" s="15">
        <v>99.31</v>
      </c>
      <c r="G11" s="16"/>
      <c r="H11" s="16"/>
      <c r="I11" s="41">
        <f>SUM(G11:H11)*$I$4</f>
        <v>0</v>
      </c>
      <c r="J11" s="41">
        <f>SUM(G11:I11)*$J$4</f>
        <v>0</v>
      </c>
      <c r="K11" s="41">
        <f t="shared" si="0"/>
        <v>0</v>
      </c>
      <c r="L11" s="41">
        <f t="shared" si="1"/>
        <v>0</v>
      </c>
      <c r="M11" s="16" t="s">
        <v>203</v>
      </c>
    </row>
    <row r="12" s="2" customFormat="1" ht="100.95" customHeight="1" outlineLevel="1" spans="1:13">
      <c r="A12" s="12">
        <v>7</v>
      </c>
      <c r="B12" s="13" t="s">
        <v>795</v>
      </c>
      <c r="C12" s="13" t="s">
        <v>796</v>
      </c>
      <c r="D12" s="14" t="s">
        <v>197</v>
      </c>
      <c r="E12" s="11" t="s">
        <v>198</v>
      </c>
      <c r="F12" s="15">
        <v>331.11</v>
      </c>
      <c r="G12" s="16"/>
      <c r="H12" s="16"/>
      <c r="I12" s="41">
        <f>SUM(G12:H12)*$I$4</f>
        <v>0</v>
      </c>
      <c r="J12" s="41">
        <f>SUM(G12:I12)*$J$4</f>
        <v>0</v>
      </c>
      <c r="K12" s="41">
        <f t="shared" si="0"/>
        <v>0</v>
      </c>
      <c r="L12" s="41">
        <f t="shared" si="1"/>
        <v>0</v>
      </c>
      <c r="M12" s="16" t="s">
        <v>203</v>
      </c>
    </row>
    <row r="13" s="2" customFormat="1" ht="100.95" customHeight="1" outlineLevel="1" spans="1:13">
      <c r="A13" s="12">
        <v>8</v>
      </c>
      <c r="B13" s="17" t="s">
        <v>797</v>
      </c>
      <c r="C13" s="17" t="s">
        <v>798</v>
      </c>
      <c r="D13" s="14" t="s">
        <v>197</v>
      </c>
      <c r="E13" s="11" t="s">
        <v>198</v>
      </c>
      <c r="F13" s="16">
        <v>11.81</v>
      </c>
      <c r="G13" s="16"/>
      <c r="H13" s="16"/>
      <c r="I13" s="41">
        <f>SUM(G13:H13)*$I$4</f>
        <v>0</v>
      </c>
      <c r="J13" s="41">
        <f>SUM(G13:I13)*$J$4</f>
        <v>0</v>
      </c>
      <c r="K13" s="41">
        <f t="shared" si="0"/>
        <v>0</v>
      </c>
      <c r="L13" s="41">
        <f t="shared" si="1"/>
        <v>0</v>
      </c>
      <c r="M13" s="16" t="s">
        <v>203</v>
      </c>
    </row>
    <row r="14" s="2" customFormat="1" ht="84.45" customHeight="1" outlineLevel="1" spans="1:13">
      <c r="A14" s="12">
        <v>10</v>
      </c>
      <c r="B14" s="13" t="s">
        <v>733</v>
      </c>
      <c r="C14" s="13" t="s">
        <v>734</v>
      </c>
      <c r="D14" s="14" t="s">
        <v>197</v>
      </c>
      <c r="E14" s="18" t="s">
        <v>198</v>
      </c>
      <c r="F14" s="15">
        <v>8.27</v>
      </c>
      <c r="G14" s="16"/>
      <c r="H14" s="16"/>
      <c r="I14" s="41">
        <f>SUM(G14:H14)*$I$4</f>
        <v>0</v>
      </c>
      <c r="J14" s="41">
        <f>SUM(G14:I14)*$J$4</f>
        <v>0</v>
      </c>
      <c r="K14" s="41">
        <f t="shared" si="0"/>
        <v>0</v>
      </c>
      <c r="L14" s="41">
        <f t="shared" si="1"/>
        <v>0</v>
      </c>
      <c r="M14" s="16" t="s">
        <v>799</v>
      </c>
    </row>
    <row r="15" s="2" customFormat="1" ht="100.95" customHeight="1" outlineLevel="1" spans="1:13">
      <c r="A15" s="12">
        <v>11</v>
      </c>
      <c r="B15" s="13" t="s">
        <v>800</v>
      </c>
      <c r="C15" s="13" t="s">
        <v>801</v>
      </c>
      <c r="D15" s="14" t="s">
        <v>233</v>
      </c>
      <c r="E15" s="11" t="s">
        <v>198</v>
      </c>
      <c r="F15" s="15">
        <v>260.5</v>
      </c>
      <c r="G15" s="16"/>
      <c r="H15" s="16"/>
      <c r="I15" s="41">
        <f>SUM(G15:H15)*$I$4</f>
        <v>0</v>
      </c>
      <c r="J15" s="41">
        <f>SUM(G15:I15)*$J$4</f>
        <v>0</v>
      </c>
      <c r="K15" s="41">
        <f t="shared" si="0"/>
        <v>0</v>
      </c>
      <c r="L15" s="41">
        <f t="shared" si="1"/>
        <v>0</v>
      </c>
      <c r="M15" s="16" t="s">
        <v>802</v>
      </c>
    </row>
    <row r="16" s="2" customFormat="1" ht="100.95" customHeight="1" outlineLevel="1" spans="1:13">
      <c r="A16" s="12">
        <v>12</v>
      </c>
      <c r="B16" s="13" t="s">
        <v>803</v>
      </c>
      <c r="C16" s="13" t="s">
        <v>804</v>
      </c>
      <c r="D16" s="14" t="s">
        <v>233</v>
      </c>
      <c r="E16" s="11" t="s">
        <v>198</v>
      </c>
      <c r="F16" s="15">
        <v>535.05</v>
      </c>
      <c r="G16" s="16"/>
      <c r="H16" s="16"/>
      <c r="I16" s="41">
        <f>SUM(G16:H16)*$I$4</f>
        <v>0</v>
      </c>
      <c r="J16" s="41">
        <f>SUM(G16:I16)*$J$4</f>
        <v>0</v>
      </c>
      <c r="K16" s="41">
        <f t="shared" si="0"/>
        <v>0</v>
      </c>
      <c r="L16" s="41">
        <f t="shared" si="1"/>
        <v>0</v>
      </c>
      <c r="M16" s="16" t="s">
        <v>805</v>
      </c>
    </row>
    <row r="17" s="2" customFormat="1" ht="18.45" customHeight="1" spans="1:13">
      <c r="A17" s="8" t="s">
        <v>225</v>
      </c>
      <c r="B17" s="9" t="s">
        <v>806</v>
      </c>
      <c r="C17" s="8"/>
      <c r="D17" s="10"/>
      <c r="E17" s="10"/>
      <c r="F17" s="10"/>
      <c r="G17" s="11"/>
      <c r="H17" s="11"/>
      <c r="I17" s="11"/>
      <c r="J17" s="11"/>
      <c r="K17" s="11"/>
      <c r="L17" s="41"/>
      <c r="M17" s="11"/>
    </row>
    <row r="18" s="2" customFormat="1" ht="97.05" customHeight="1" outlineLevel="1" spans="1:13">
      <c r="A18" s="12">
        <v>2</v>
      </c>
      <c r="B18" s="19" t="s">
        <v>683</v>
      </c>
      <c r="C18" s="19" t="s">
        <v>807</v>
      </c>
      <c r="D18" s="20" t="s">
        <v>197</v>
      </c>
      <c r="E18" s="11" t="s">
        <v>198</v>
      </c>
      <c r="F18" s="15">
        <f>9.12+36.78+29.97+32.16</f>
        <v>108.03</v>
      </c>
      <c r="G18" s="16"/>
      <c r="H18" s="16"/>
      <c r="I18" s="41">
        <f>SUM(G18:H18)*$I$4</f>
        <v>0</v>
      </c>
      <c r="J18" s="41">
        <f>SUM(G18:I18)*$J$4</f>
        <v>0</v>
      </c>
      <c r="K18" s="41">
        <f t="shared" ref="K18:K21" si="2">SUM(G18:J18)</f>
        <v>0</v>
      </c>
      <c r="L18" s="41">
        <f t="shared" ref="L18:L21" si="3">F18*K18</f>
        <v>0</v>
      </c>
      <c r="M18" s="16" t="s">
        <v>808</v>
      </c>
    </row>
    <row r="19" s="2" customFormat="1" ht="99" customHeight="1" outlineLevel="1" spans="1:13">
      <c r="A19" s="12">
        <v>3</v>
      </c>
      <c r="B19" s="19" t="s">
        <v>754</v>
      </c>
      <c r="C19" s="19" t="s">
        <v>809</v>
      </c>
      <c r="D19" s="14" t="s">
        <v>233</v>
      </c>
      <c r="E19" s="11" t="s">
        <v>198</v>
      </c>
      <c r="F19" s="15">
        <v>980.72</v>
      </c>
      <c r="G19" s="16"/>
      <c r="H19" s="16"/>
      <c r="I19" s="41">
        <f>SUM(G19:H19)*$I$4</f>
        <v>0</v>
      </c>
      <c r="J19" s="41">
        <f>SUM(G19:I19)*$J$4</f>
        <v>0</v>
      </c>
      <c r="K19" s="41">
        <f t="shared" si="2"/>
        <v>0</v>
      </c>
      <c r="L19" s="41">
        <f t="shared" si="3"/>
        <v>0</v>
      </c>
      <c r="M19" s="16" t="s">
        <v>810</v>
      </c>
    </row>
    <row r="20" s="2" customFormat="1" ht="67.95" customHeight="1" outlineLevel="1" spans="1:13">
      <c r="A20" s="12">
        <v>4</v>
      </c>
      <c r="B20" s="19" t="s">
        <v>811</v>
      </c>
      <c r="C20" s="19" t="s">
        <v>812</v>
      </c>
      <c r="D20" s="14" t="s">
        <v>229</v>
      </c>
      <c r="E20" s="11" t="s">
        <v>198</v>
      </c>
      <c r="F20" s="15">
        <v>230.35</v>
      </c>
      <c r="G20" s="16"/>
      <c r="H20" s="16"/>
      <c r="I20" s="41">
        <f>SUM(G20:H20)*$I$4</f>
        <v>0</v>
      </c>
      <c r="J20" s="41">
        <f>SUM(G20:I20)*$J$4</f>
        <v>0</v>
      </c>
      <c r="K20" s="41">
        <f t="shared" si="2"/>
        <v>0</v>
      </c>
      <c r="L20" s="41">
        <f t="shared" si="3"/>
        <v>0</v>
      </c>
      <c r="M20" s="16" t="s">
        <v>243</v>
      </c>
    </row>
    <row r="21" s="2" customFormat="1" ht="34.95" customHeight="1" outlineLevel="1" spans="1:13">
      <c r="A21" s="12">
        <v>6</v>
      </c>
      <c r="B21" s="19" t="s">
        <v>582</v>
      </c>
      <c r="C21" s="19" t="s">
        <v>583</v>
      </c>
      <c r="D21" s="14" t="s">
        <v>292</v>
      </c>
      <c r="E21" s="11" t="s">
        <v>138</v>
      </c>
      <c r="F21" s="15">
        <v>3</v>
      </c>
      <c r="G21" s="16"/>
      <c r="H21" s="16"/>
      <c r="I21" s="41">
        <f>SUM(G21:H21)*$I$4</f>
        <v>0</v>
      </c>
      <c r="J21" s="41">
        <f>SUM(G21:I21)*$J$4</f>
        <v>0</v>
      </c>
      <c r="K21" s="41">
        <f t="shared" si="2"/>
        <v>0</v>
      </c>
      <c r="L21" s="41">
        <f t="shared" si="3"/>
        <v>0</v>
      </c>
      <c r="M21" s="16"/>
    </row>
    <row r="22" s="2" customFormat="1" ht="18.45" customHeight="1" spans="1:13">
      <c r="A22" s="8" t="s">
        <v>254</v>
      </c>
      <c r="B22" s="9" t="s">
        <v>813</v>
      </c>
      <c r="C22" s="8"/>
      <c r="D22" s="10"/>
      <c r="E22" s="10"/>
      <c r="F22" s="10"/>
      <c r="G22" s="11"/>
      <c r="H22" s="11"/>
      <c r="I22" s="11"/>
      <c r="J22" s="11"/>
      <c r="K22" s="11"/>
      <c r="L22" s="41"/>
      <c r="M22" s="11"/>
    </row>
    <row r="23" s="2" customFormat="1" ht="67.95" customHeight="1" outlineLevel="1" spans="1:13">
      <c r="A23" s="12">
        <v>1</v>
      </c>
      <c r="B23" s="21" t="s">
        <v>814</v>
      </c>
      <c r="C23" s="22" t="s">
        <v>815</v>
      </c>
      <c r="D23" s="14" t="s">
        <v>197</v>
      </c>
      <c r="E23" s="11" t="s">
        <v>198</v>
      </c>
      <c r="F23" s="23">
        <v>2404.77</v>
      </c>
      <c r="G23" s="16"/>
      <c r="H23" s="16"/>
      <c r="I23" s="41">
        <f>SUM(G23:H23)*$I$4</f>
        <v>0</v>
      </c>
      <c r="J23" s="41">
        <f>SUM(G23:I23)*$J$4</f>
        <v>0</v>
      </c>
      <c r="K23" s="41">
        <f t="shared" ref="K23:K35" si="4">SUM(G23:J23)</f>
        <v>0</v>
      </c>
      <c r="L23" s="41">
        <f t="shared" ref="L23:L35" si="5">F23*K23</f>
        <v>0</v>
      </c>
      <c r="M23" s="16" t="s">
        <v>234</v>
      </c>
    </row>
    <row r="24" s="2" customFormat="1" ht="67.95" customHeight="1" outlineLevel="1" spans="1:13">
      <c r="A24" s="12">
        <v>2</v>
      </c>
      <c r="B24" s="21" t="s">
        <v>816</v>
      </c>
      <c r="C24" s="22" t="s">
        <v>817</v>
      </c>
      <c r="D24" s="14" t="s">
        <v>197</v>
      </c>
      <c r="E24" s="11" t="s">
        <v>198</v>
      </c>
      <c r="F24" s="23">
        <v>430.32</v>
      </c>
      <c r="G24" s="16"/>
      <c r="H24" s="16"/>
      <c r="I24" s="41">
        <f>SUM(G24:H24)*$I$4</f>
        <v>0</v>
      </c>
      <c r="J24" s="41">
        <f>SUM(G24:I24)*$J$4</f>
        <v>0</v>
      </c>
      <c r="K24" s="41">
        <f t="shared" si="4"/>
        <v>0</v>
      </c>
      <c r="L24" s="41">
        <f t="shared" si="5"/>
        <v>0</v>
      </c>
      <c r="M24" s="16" t="s">
        <v>234</v>
      </c>
    </row>
    <row r="25" s="2" customFormat="1" ht="51.45" customHeight="1" outlineLevel="1" spans="1:13">
      <c r="A25" s="12">
        <v>4</v>
      </c>
      <c r="B25" s="19" t="s">
        <v>811</v>
      </c>
      <c r="C25" s="19" t="s">
        <v>812</v>
      </c>
      <c r="D25" s="14" t="s">
        <v>229</v>
      </c>
      <c r="E25" s="11" t="s">
        <v>198</v>
      </c>
      <c r="F25" s="15">
        <v>76.96</v>
      </c>
      <c r="G25" s="16"/>
      <c r="H25" s="16"/>
      <c r="I25" s="41">
        <f>SUM(G25:H25)*$I$4</f>
        <v>0</v>
      </c>
      <c r="J25" s="41">
        <f>SUM(G25:I25)*$J$4</f>
        <v>0</v>
      </c>
      <c r="K25" s="41">
        <f t="shared" si="4"/>
        <v>0</v>
      </c>
      <c r="L25" s="41">
        <f t="shared" si="5"/>
        <v>0</v>
      </c>
      <c r="M25" s="16" t="s">
        <v>243</v>
      </c>
    </row>
    <row r="26" s="2" customFormat="1" ht="133.95" customHeight="1" outlineLevel="1" spans="1:13">
      <c r="A26" s="12">
        <v>4</v>
      </c>
      <c r="B26" s="21" t="s">
        <v>818</v>
      </c>
      <c r="C26" s="22" t="s">
        <v>819</v>
      </c>
      <c r="D26" s="14" t="s">
        <v>197</v>
      </c>
      <c r="E26" s="11" t="s">
        <v>211</v>
      </c>
      <c r="F26" s="16">
        <v>762.59</v>
      </c>
      <c r="G26" s="16"/>
      <c r="H26" s="16"/>
      <c r="I26" s="41">
        <f>SUM(G26:H26)*$I$4</f>
        <v>0</v>
      </c>
      <c r="J26" s="41">
        <f>SUM(G26:I26)*$J$4</f>
        <v>0</v>
      </c>
      <c r="K26" s="41">
        <f t="shared" si="4"/>
        <v>0</v>
      </c>
      <c r="L26" s="41">
        <f t="shared" si="5"/>
        <v>0</v>
      </c>
      <c r="M26" s="16" t="s">
        <v>277</v>
      </c>
    </row>
    <row r="27" s="2" customFormat="1" ht="117.45" customHeight="1" outlineLevel="1" spans="1:13">
      <c r="A27" s="12">
        <v>4</v>
      </c>
      <c r="B27" s="13" t="s">
        <v>787</v>
      </c>
      <c r="C27" s="13" t="s">
        <v>820</v>
      </c>
      <c r="D27" s="14" t="s">
        <v>197</v>
      </c>
      <c r="E27" s="11" t="s">
        <v>198</v>
      </c>
      <c r="F27" s="15">
        <f>422.2+3.36+0.14*(152.8+67.2+82.8)</f>
        <v>467.952</v>
      </c>
      <c r="G27" s="16"/>
      <c r="H27" s="16"/>
      <c r="I27" s="41">
        <f>SUM(G27:H27)*$I$4</f>
        <v>0</v>
      </c>
      <c r="J27" s="41">
        <f>SUM(G27:I27)*$J$4</f>
        <v>0</v>
      </c>
      <c r="K27" s="41">
        <f t="shared" si="4"/>
        <v>0</v>
      </c>
      <c r="L27" s="41">
        <f t="shared" si="5"/>
        <v>0</v>
      </c>
      <c r="M27" s="16" t="s">
        <v>821</v>
      </c>
    </row>
    <row r="28" s="2" customFormat="1" ht="133.95" customHeight="1" outlineLevel="1" spans="1:13">
      <c r="A28" s="12">
        <v>5</v>
      </c>
      <c r="B28" s="21" t="s">
        <v>822</v>
      </c>
      <c r="C28" s="13" t="s">
        <v>823</v>
      </c>
      <c r="D28" s="14" t="s">
        <v>197</v>
      </c>
      <c r="E28" s="11" t="s">
        <v>198</v>
      </c>
      <c r="F28" s="23">
        <v>318.63</v>
      </c>
      <c r="G28" s="16"/>
      <c r="H28" s="16"/>
      <c r="I28" s="41">
        <f>SUM(G28:H28)*$I$4</f>
        <v>0</v>
      </c>
      <c r="J28" s="41">
        <f>SUM(G28:I28)*$J$4</f>
        <v>0</v>
      </c>
      <c r="K28" s="41">
        <f t="shared" si="4"/>
        <v>0</v>
      </c>
      <c r="L28" s="41">
        <f t="shared" si="5"/>
        <v>0</v>
      </c>
      <c r="M28" s="16" t="s">
        <v>277</v>
      </c>
    </row>
    <row r="29" s="2" customFormat="1" ht="133.95" customHeight="1" outlineLevel="1" spans="1:13">
      <c r="A29" s="12">
        <v>4</v>
      </c>
      <c r="B29" s="21" t="s">
        <v>824</v>
      </c>
      <c r="C29" s="22" t="s">
        <v>825</v>
      </c>
      <c r="D29" s="14" t="s">
        <v>197</v>
      </c>
      <c r="E29" s="11" t="s">
        <v>211</v>
      </c>
      <c r="F29" s="16">
        <f>1403.64-254.65</f>
        <v>1148.99</v>
      </c>
      <c r="G29" s="16"/>
      <c r="H29" s="16"/>
      <c r="I29" s="41">
        <f>SUM(G29:H29)*$I$4</f>
        <v>0</v>
      </c>
      <c r="J29" s="41">
        <f>SUM(G29:I29)*$J$4</f>
        <v>0</v>
      </c>
      <c r="K29" s="41">
        <f t="shared" si="4"/>
        <v>0</v>
      </c>
      <c r="L29" s="41">
        <f t="shared" si="5"/>
        <v>0</v>
      </c>
      <c r="M29" s="16" t="s">
        <v>277</v>
      </c>
    </row>
    <row r="30" s="2" customFormat="1" ht="117.45" customHeight="1" outlineLevel="1" spans="1:13">
      <c r="A30" s="12">
        <v>6</v>
      </c>
      <c r="B30" s="21" t="s">
        <v>826</v>
      </c>
      <c r="C30" s="13" t="s">
        <v>827</v>
      </c>
      <c r="D30" s="14" t="s">
        <v>197</v>
      </c>
      <c r="E30" s="11" t="s">
        <v>198</v>
      </c>
      <c r="F30" s="23">
        <v>254.65</v>
      </c>
      <c r="G30" s="16"/>
      <c r="H30" s="16"/>
      <c r="I30" s="41">
        <f>SUM(G30:H30)*$I$4</f>
        <v>0</v>
      </c>
      <c r="J30" s="41">
        <f>SUM(G30:I30)*$J$4</f>
        <v>0</v>
      </c>
      <c r="K30" s="41">
        <f t="shared" si="4"/>
        <v>0</v>
      </c>
      <c r="L30" s="41">
        <f t="shared" si="5"/>
        <v>0</v>
      </c>
      <c r="M30" s="16" t="s">
        <v>828</v>
      </c>
    </row>
    <row r="31" s="2" customFormat="1" ht="117.45" customHeight="1" outlineLevel="1" spans="1:13">
      <c r="A31" s="12">
        <v>7</v>
      </c>
      <c r="B31" s="21" t="s">
        <v>829</v>
      </c>
      <c r="C31" s="13" t="s">
        <v>830</v>
      </c>
      <c r="D31" s="14" t="s">
        <v>197</v>
      </c>
      <c r="E31" s="11" t="s">
        <v>198</v>
      </c>
      <c r="F31" s="23">
        <v>67.6</v>
      </c>
      <c r="G31" s="16"/>
      <c r="H31" s="16"/>
      <c r="I31" s="41">
        <f>SUM(G31:H31)*$I$4</f>
        <v>0</v>
      </c>
      <c r="J31" s="41">
        <f>SUM(G31:I31)*$J$4</f>
        <v>0</v>
      </c>
      <c r="K31" s="41">
        <f t="shared" si="4"/>
        <v>0</v>
      </c>
      <c r="L31" s="41">
        <f t="shared" si="5"/>
        <v>0</v>
      </c>
      <c r="M31" s="16" t="s">
        <v>821</v>
      </c>
    </row>
    <row r="32" s="2" customFormat="1" ht="84.45" customHeight="1" outlineLevel="1" spans="1:13">
      <c r="A32" s="12">
        <v>9</v>
      </c>
      <c r="B32" s="21" t="s">
        <v>771</v>
      </c>
      <c r="C32" s="22" t="s">
        <v>772</v>
      </c>
      <c r="D32" s="14" t="s">
        <v>197</v>
      </c>
      <c r="E32" s="11" t="s">
        <v>211</v>
      </c>
      <c r="F32" s="16">
        <v>6.4</v>
      </c>
      <c r="G32" s="16"/>
      <c r="H32" s="16"/>
      <c r="I32" s="41">
        <f>SUM(G32:H32)*$I$4</f>
        <v>0</v>
      </c>
      <c r="J32" s="41">
        <f>SUM(G32:I32)*$J$4</f>
        <v>0</v>
      </c>
      <c r="K32" s="41">
        <f t="shared" si="4"/>
        <v>0</v>
      </c>
      <c r="L32" s="41">
        <f t="shared" si="5"/>
        <v>0</v>
      </c>
      <c r="M32" s="16" t="s">
        <v>441</v>
      </c>
    </row>
    <row r="33" s="2" customFormat="1" ht="96" customHeight="1" outlineLevel="1" spans="1:13">
      <c r="A33" s="24">
        <v>16</v>
      </c>
      <c r="B33" s="25" t="s">
        <v>777</v>
      </c>
      <c r="C33" s="26" t="s">
        <v>703</v>
      </c>
      <c r="D33" s="27" t="s">
        <v>264</v>
      </c>
      <c r="E33" s="28" t="s">
        <v>265</v>
      </c>
      <c r="F33" s="29">
        <v>9</v>
      </c>
      <c r="G33" s="29"/>
      <c r="H33" s="29"/>
      <c r="I33" s="42">
        <f>SUM(G33:H33)*$I$4</f>
        <v>0</v>
      </c>
      <c r="J33" s="42">
        <f>SUM(G33:I33)*$J$4</f>
        <v>0</v>
      </c>
      <c r="K33" s="42">
        <f t="shared" si="4"/>
        <v>0</v>
      </c>
      <c r="L33" s="42">
        <f t="shared" si="5"/>
        <v>0</v>
      </c>
      <c r="M33" s="43" t="s">
        <v>426</v>
      </c>
    </row>
    <row r="34" s="2" customFormat="1" ht="67.95" customHeight="1" outlineLevel="1" spans="1:13">
      <c r="A34" s="12">
        <v>13</v>
      </c>
      <c r="B34" s="30" t="s">
        <v>831</v>
      </c>
      <c r="C34" s="13" t="s">
        <v>832</v>
      </c>
      <c r="D34" s="14" t="s">
        <v>206</v>
      </c>
      <c r="E34" s="31" t="s">
        <v>175</v>
      </c>
      <c r="F34" s="23">
        <v>93.51</v>
      </c>
      <c r="G34" s="16"/>
      <c r="H34" s="16"/>
      <c r="I34" s="41">
        <f>SUM(G34:H34)*$I$4</f>
        <v>0</v>
      </c>
      <c r="J34" s="41">
        <f>SUM(G34:I34)*$J$4</f>
        <v>0</v>
      </c>
      <c r="K34" s="41">
        <f t="shared" si="4"/>
        <v>0</v>
      </c>
      <c r="L34" s="41">
        <f t="shared" si="5"/>
        <v>0</v>
      </c>
      <c r="M34" s="16" t="s">
        <v>833</v>
      </c>
    </row>
    <row r="35" s="2" customFormat="1" ht="84.45" customHeight="1" outlineLevel="1" spans="1:13">
      <c r="A35" s="12">
        <v>14</v>
      </c>
      <c r="B35" s="21" t="s">
        <v>834</v>
      </c>
      <c r="C35" s="13" t="s">
        <v>835</v>
      </c>
      <c r="D35" s="14" t="s">
        <v>349</v>
      </c>
      <c r="E35" s="31" t="s">
        <v>198</v>
      </c>
      <c r="F35" s="23">
        <v>20.15</v>
      </c>
      <c r="G35" s="16"/>
      <c r="H35" s="16"/>
      <c r="I35" s="41">
        <f>SUM(G35:H35)*$I$4</f>
        <v>0</v>
      </c>
      <c r="J35" s="41">
        <f>SUM(G35:I35)*$J$4</f>
        <v>0</v>
      </c>
      <c r="K35" s="41">
        <f t="shared" si="4"/>
        <v>0</v>
      </c>
      <c r="L35" s="41">
        <f t="shared" si="5"/>
        <v>0</v>
      </c>
      <c r="M35" s="16" t="s">
        <v>428</v>
      </c>
    </row>
    <row r="36" ht="24" customHeight="1" spans="1:13">
      <c r="A36" s="32" t="s">
        <v>293</v>
      </c>
      <c r="B36" s="33" t="s">
        <v>294</v>
      </c>
      <c r="C36" s="34"/>
      <c r="D36" s="35"/>
      <c r="E36" s="35"/>
      <c r="F36" s="35"/>
      <c r="G36" s="32"/>
      <c r="H36" s="32"/>
      <c r="I36" s="32"/>
      <c r="J36" s="32"/>
      <c r="K36" s="32"/>
      <c r="L36" s="44"/>
      <c r="M36" s="32"/>
    </row>
    <row r="37" s="3" customFormat="1" ht="35" customHeight="1" outlineLevel="1" spans="1:13">
      <c r="A37" s="12">
        <v>1</v>
      </c>
      <c r="B37" s="36" t="s">
        <v>295</v>
      </c>
      <c r="C37" s="36" t="s">
        <v>296</v>
      </c>
      <c r="D37" s="14" t="s">
        <v>297</v>
      </c>
      <c r="E37" s="11" t="s">
        <v>198</v>
      </c>
      <c r="F37" s="23">
        <v>6017.68</v>
      </c>
      <c r="G37" s="16"/>
      <c r="H37" s="16"/>
      <c r="I37" s="41">
        <f>SUM(G37:H37)*$I$4</f>
        <v>0</v>
      </c>
      <c r="J37" s="41">
        <f>SUM(G37:I37)*$J$4</f>
        <v>0</v>
      </c>
      <c r="K37" s="41">
        <f t="shared" ref="K37:K39" si="6">SUM(G37:J37)</f>
        <v>0</v>
      </c>
      <c r="L37" s="41">
        <f t="shared" ref="L37:L39" si="7">F37*K37</f>
        <v>0</v>
      </c>
      <c r="M37" s="16" t="s">
        <v>298</v>
      </c>
    </row>
    <row r="38" s="3" customFormat="1" ht="35" customHeight="1" outlineLevel="1" spans="1:13">
      <c r="A38" s="12">
        <v>2</v>
      </c>
      <c r="B38" s="36" t="s">
        <v>299</v>
      </c>
      <c r="C38" s="36" t="s">
        <v>300</v>
      </c>
      <c r="D38" s="14" t="s">
        <v>297</v>
      </c>
      <c r="E38" s="11" t="s">
        <v>198</v>
      </c>
      <c r="F38" s="23">
        <v>6017.68</v>
      </c>
      <c r="G38" s="16"/>
      <c r="H38" s="16"/>
      <c r="I38" s="41">
        <f>SUM(G38:H38)*$I$4</f>
        <v>0</v>
      </c>
      <c r="J38" s="41">
        <f>SUM(G38:I38)*$J$4</f>
        <v>0</v>
      </c>
      <c r="K38" s="41">
        <f t="shared" si="6"/>
        <v>0</v>
      </c>
      <c r="L38" s="41">
        <f t="shared" si="7"/>
        <v>0</v>
      </c>
      <c r="M38" s="16" t="s">
        <v>301</v>
      </c>
    </row>
    <row r="39" s="3" customFormat="1" ht="35" customHeight="1" outlineLevel="1" spans="1:13">
      <c r="A39" s="12">
        <v>3</v>
      </c>
      <c r="B39" s="36" t="s">
        <v>302</v>
      </c>
      <c r="C39" s="36" t="s">
        <v>836</v>
      </c>
      <c r="D39" s="14" t="s">
        <v>297</v>
      </c>
      <c r="E39" s="11" t="s">
        <v>198</v>
      </c>
      <c r="F39" s="23">
        <v>6017.68</v>
      </c>
      <c r="G39" s="16"/>
      <c r="H39" s="16"/>
      <c r="I39" s="41">
        <f>SUM(G39:H39)*$I$4</f>
        <v>0</v>
      </c>
      <c r="J39" s="41">
        <f>SUM(G39:I39)*$J$4</f>
        <v>0</v>
      </c>
      <c r="K39" s="41">
        <f t="shared" si="6"/>
        <v>0</v>
      </c>
      <c r="L39" s="41">
        <f t="shared" si="7"/>
        <v>0</v>
      </c>
      <c r="M39" s="16" t="s">
        <v>303</v>
      </c>
    </row>
    <row r="40" ht="35" customHeight="1" spans="1:13">
      <c r="A40" s="12"/>
      <c r="B40" s="37" t="s">
        <v>63</v>
      </c>
      <c r="C40" s="38"/>
      <c r="D40" s="10"/>
      <c r="E40" s="10"/>
      <c r="F40" s="10"/>
      <c r="G40" s="11"/>
      <c r="H40" s="11"/>
      <c r="I40" s="11"/>
      <c r="J40" s="11"/>
      <c r="K40" s="11"/>
      <c r="L40" s="45">
        <f>SUM(L1:L39)</f>
        <v>0</v>
      </c>
      <c r="M40" s="11"/>
    </row>
    <row r="41" ht="20.1" customHeight="1" spans="1:7">
      <c r="A41" s="39"/>
      <c r="B41" s="39"/>
      <c r="C41" s="39"/>
      <c r="D41" s="39"/>
      <c r="E41" s="39"/>
      <c r="F41" s="39"/>
      <c r="G41" s="39"/>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sheetProtection formatCells="0" insertHyperlinks="0" autoFilter="0"/>
  <autoFilter ref="A2:M60">
    <extLst/>
  </autoFilter>
  <mergeCells count="18">
    <mergeCell ref="A1:M1"/>
    <mergeCell ref="G2:J2"/>
    <mergeCell ref="B5:C5"/>
    <mergeCell ref="B17:C17"/>
    <mergeCell ref="B22:C22"/>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view="pageBreakPreview" zoomScaleNormal="100" workbookViewId="0">
      <pane ySplit="2" topLeftCell="A29" activePane="bottomLeft" state="frozen"/>
      <selection/>
      <selection pane="bottomLeft" activeCell="B31" sqref="B31"/>
    </sheetView>
  </sheetViews>
  <sheetFormatPr defaultColWidth="9" defaultRowHeight="14" outlineLevelCol="6"/>
  <cols>
    <col min="1" max="1" width="6.44545454545455" style="47" customWidth="1"/>
    <col min="2" max="2" width="20.4454545454545" style="47" customWidth="1"/>
    <col min="3" max="4" width="13.4454545454545" style="47" customWidth="1"/>
    <col min="5" max="5" width="15.6636363636364" style="47" customWidth="1"/>
    <col min="6" max="6" width="13.6636363636364" style="47" customWidth="1"/>
    <col min="7" max="7" width="27.1090909090909" style="47" customWidth="1"/>
  </cols>
  <sheetData>
    <row r="1" ht="39.9" customHeight="1" spans="1:7">
      <c r="A1" s="401" t="s">
        <v>96</v>
      </c>
      <c r="B1" s="401"/>
      <c r="C1" s="401"/>
      <c r="D1" s="401"/>
      <c r="E1" s="401"/>
      <c r="F1" s="401"/>
      <c r="G1" s="401"/>
    </row>
    <row r="2" ht="39.9" customHeight="1" spans="1:7">
      <c r="A2" s="402" t="s">
        <v>97</v>
      </c>
      <c r="B2" s="402" t="s">
        <v>98</v>
      </c>
      <c r="C2" s="402" t="s">
        <v>99</v>
      </c>
      <c r="D2" s="403" t="s">
        <v>100</v>
      </c>
      <c r="E2" s="403" t="s">
        <v>101</v>
      </c>
      <c r="F2" s="403" t="s">
        <v>42</v>
      </c>
      <c r="G2" s="402" t="s">
        <v>43</v>
      </c>
    </row>
    <row r="3" ht="25.95" customHeight="1" spans="1:7">
      <c r="A3" s="404">
        <v>1</v>
      </c>
      <c r="B3" s="405" t="s">
        <v>47</v>
      </c>
      <c r="C3" s="404" t="s">
        <v>102</v>
      </c>
      <c r="D3" s="406">
        <v>9295.32</v>
      </c>
      <c r="E3" s="406">
        <f>+E4</f>
        <v>0</v>
      </c>
      <c r="F3" s="406">
        <f t="shared" ref="F3:F44" si="0">E3/D3</f>
        <v>0</v>
      </c>
      <c r="G3" s="404"/>
    </row>
    <row r="4" ht="25.95" customHeight="1" spans="1:7">
      <c r="A4" s="404">
        <v>2</v>
      </c>
      <c r="B4" s="405" t="s">
        <v>48</v>
      </c>
      <c r="C4" s="404" t="s">
        <v>102</v>
      </c>
      <c r="D4" s="406">
        <v>9295.32</v>
      </c>
      <c r="E4" s="406">
        <f>+'[2]F食堂2#（F食堂1#）'!M56</f>
        <v>0</v>
      </c>
      <c r="F4" s="406">
        <f t="shared" si="0"/>
        <v>0</v>
      </c>
      <c r="G4" s="404"/>
    </row>
    <row r="5" ht="25.95" customHeight="1" spans="1:7">
      <c r="A5" s="404">
        <v>3</v>
      </c>
      <c r="B5" s="407" t="s">
        <v>49</v>
      </c>
      <c r="C5" s="404" t="s">
        <v>102</v>
      </c>
      <c r="D5" s="406">
        <v>9295.32</v>
      </c>
      <c r="E5" s="406">
        <f>+[2]F后勤服务中心!M50</f>
        <v>0</v>
      </c>
      <c r="F5" s="406">
        <f t="shared" si="0"/>
        <v>0</v>
      </c>
      <c r="G5" s="404"/>
    </row>
    <row r="6" ht="25.95" customHeight="1" spans="1:7">
      <c r="A6" s="404">
        <v>4</v>
      </c>
      <c r="B6" s="408" t="s">
        <v>61</v>
      </c>
      <c r="C6" s="404" t="s">
        <v>102</v>
      </c>
      <c r="D6" s="406">
        <v>8116.02</v>
      </c>
      <c r="E6" s="406">
        <f>+'[2]F训1#（F训2#）'!M52</f>
        <v>0</v>
      </c>
      <c r="F6" s="406">
        <f t="shared" si="0"/>
        <v>0</v>
      </c>
      <c r="G6" s="404" t="s">
        <v>103</v>
      </c>
    </row>
    <row r="7" ht="25.95" customHeight="1" spans="1:7">
      <c r="A7" s="404">
        <v>5</v>
      </c>
      <c r="B7" s="408" t="s">
        <v>62</v>
      </c>
      <c r="C7" s="404" t="s">
        <v>102</v>
      </c>
      <c r="D7" s="406">
        <v>8116.02</v>
      </c>
      <c r="E7" s="406">
        <f>+E6</f>
        <v>0</v>
      </c>
      <c r="F7" s="406">
        <f t="shared" si="0"/>
        <v>0</v>
      </c>
      <c r="G7" s="404" t="s">
        <v>103</v>
      </c>
    </row>
    <row r="8" ht="26" spans="1:7">
      <c r="A8" s="404">
        <v>6</v>
      </c>
      <c r="B8" s="408" t="s">
        <v>87</v>
      </c>
      <c r="C8" s="404" t="s">
        <v>102</v>
      </c>
      <c r="D8" s="406">
        <v>8116.02</v>
      </c>
      <c r="E8" s="409">
        <f>'[2]E训1#（A训2#、A训1#、E训2#）'!M52</f>
        <v>0</v>
      </c>
      <c r="F8" s="406">
        <f t="shared" si="0"/>
        <v>0</v>
      </c>
      <c r="G8" s="410" t="s">
        <v>104</v>
      </c>
    </row>
    <row r="9" ht="26" spans="1:7">
      <c r="A9" s="404">
        <v>7</v>
      </c>
      <c r="B9" s="408" t="s">
        <v>69</v>
      </c>
      <c r="C9" s="404" t="s">
        <v>102</v>
      </c>
      <c r="D9" s="406">
        <v>8116.02</v>
      </c>
      <c r="E9" s="409">
        <f>+E8</f>
        <v>0</v>
      </c>
      <c r="F9" s="406">
        <f t="shared" si="0"/>
        <v>0</v>
      </c>
      <c r="G9" s="410" t="s">
        <v>104</v>
      </c>
    </row>
    <row r="10" ht="26" spans="1:7">
      <c r="A10" s="404">
        <v>8</v>
      </c>
      <c r="B10" s="408" t="s">
        <v>68</v>
      </c>
      <c r="C10" s="404" t="s">
        <v>102</v>
      </c>
      <c r="D10" s="406">
        <v>8116.02</v>
      </c>
      <c r="E10" s="409">
        <f>+E8</f>
        <v>0</v>
      </c>
      <c r="F10" s="406">
        <f t="shared" si="0"/>
        <v>0</v>
      </c>
      <c r="G10" s="410" t="s">
        <v>104</v>
      </c>
    </row>
    <row r="11" ht="26" spans="1:7">
      <c r="A11" s="404">
        <v>9</v>
      </c>
      <c r="B11" s="408" t="s">
        <v>88</v>
      </c>
      <c r="C11" s="404" t="s">
        <v>102</v>
      </c>
      <c r="D11" s="406">
        <v>8116.02</v>
      </c>
      <c r="E11" s="409">
        <f>+E8</f>
        <v>0</v>
      </c>
      <c r="F11" s="406">
        <f t="shared" si="0"/>
        <v>0</v>
      </c>
      <c r="G11" s="410" t="s">
        <v>104</v>
      </c>
    </row>
    <row r="12" ht="26" spans="1:7">
      <c r="A12" s="404">
        <v>10</v>
      </c>
      <c r="B12" s="408" t="s">
        <v>75</v>
      </c>
      <c r="C12" s="404" t="s">
        <v>102</v>
      </c>
      <c r="D12" s="406">
        <v>6359.48</v>
      </c>
      <c r="E12" s="406">
        <f>'[2]A训5#、A训4#（A训3#，H训1#，H训2#）.'!M52</f>
        <v>0</v>
      </c>
      <c r="F12" s="406">
        <f t="shared" si="0"/>
        <v>0</v>
      </c>
      <c r="G12" s="410" t="s">
        <v>105</v>
      </c>
    </row>
    <row r="13" ht="26" spans="1:7">
      <c r="A13" s="404">
        <v>11</v>
      </c>
      <c r="B13" s="408" t="s">
        <v>71</v>
      </c>
      <c r="C13" s="404" t="s">
        <v>102</v>
      </c>
      <c r="D13" s="406">
        <v>6359.48</v>
      </c>
      <c r="E13" s="406">
        <f>+E12</f>
        <v>0</v>
      </c>
      <c r="F13" s="406">
        <f t="shared" si="0"/>
        <v>0</v>
      </c>
      <c r="G13" s="410" t="s">
        <v>105</v>
      </c>
    </row>
    <row r="14" ht="26" spans="1:7">
      <c r="A14" s="404">
        <v>12</v>
      </c>
      <c r="B14" s="408" t="s">
        <v>70</v>
      </c>
      <c r="C14" s="404" t="s">
        <v>102</v>
      </c>
      <c r="D14" s="406">
        <v>6359.48</v>
      </c>
      <c r="E14" s="406">
        <f>+E12</f>
        <v>0</v>
      </c>
      <c r="F14" s="406">
        <f t="shared" si="0"/>
        <v>0</v>
      </c>
      <c r="G14" s="410" t="s">
        <v>105</v>
      </c>
    </row>
    <row r="15" ht="26" spans="1:7">
      <c r="A15" s="404">
        <v>13</v>
      </c>
      <c r="B15" s="408" t="s">
        <v>78</v>
      </c>
      <c r="C15" s="404" t="s">
        <v>102</v>
      </c>
      <c r="D15" s="406">
        <v>6359.48</v>
      </c>
      <c r="E15" s="406">
        <f>+E12</f>
        <v>0</v>
      </c>
      <c r="F15" s="406">
        <f t="shared" si="0"/>
        <v>0</v>
      </c>
      <c r="G15" s="410" t="s">
        <v>105</v>
      </c>
    </row>
    <row r="16" ht="26" spans="1:7">
      <c r="A16" s="404">
        <v>14</v>
      </c>
      <c r="B16" s="408" t="s">
        <v>79</v>
      </c>
      <c r="C16" s="404" t="s">
        <v>102</v>
      </c>
      <c r="D16" s="406">
        <v>6359.48</v>
      </c>
      <c r="E16" s="406">
        <f>+E12</f>
        <v>0</v>
      </c>
      <c r="F16" s="406">
        <f t="shared" si="0"/>
        <v>0</v>
      </c>
      <c r="G16" s="410" t="s">
        <v>105</v>
      </c>
    </row>
    <row r="17" ht="39" spans="1:7">
      <c r="A17" s="404">
        <v>15</v>
      </c>
      <c r="B17" s="10" t="s">
        <v>80</v>
      </c>
      <c r="C17" s="404" t="s">
        <v>102</v>
      </c>
      <c r="D17" s="406">
        <v>6359.48</v>
      </c>
      <c r="E17" s="411">
        <f>'[2]H训3#（H训4#A训6#E训4#E训3#F训3#F训4#'!M52</f>
        <v>0</v>
      </c>
      <c r="F17" s="406">
        <f t="shared" si="0"/>
        <v>0</v>
      </c>
      <c r="G17" s="410" t="s">
        <v>106</v>
      </c>
    </row>
    <row r="18" ht="39" spans="1:7">
      <c r="A18" s="404">
        <v>16</v>
      </c>
      <c r="B18" s="10" t="s">
        <v>81</v>
      </c>
      <c r="C18" s="404" t="s">
        <v>102</v>
      </c>
      <c r="D18" s="406">
        <v>6359.48</v>
      </c>
      <c r="E18" s="411">
        <f>E17</f>
        <v>0</v>
      </c>
      <c r="F18" s="406">
        <f t="shared" si="0"/>
        <v>0</v>
      </c>
      <c r="G18" s="410" t="s">
        <v>106</v>
      </c>
    </row>
    <row r="19" ht="39" spans="1:7">
      <c r="A19" s="404">
        <v>17</v>
      </c>
      <c r="B19" s="10" t="s">
        <v>76</v>
      </c>
      <c r="C19" s="404" t="s">
        <v>102</v>
      </c>
      <c r="D19" s="406">
        <v>6359.48</v>
      </c>
      <c r="E19" s="411">
        <f>E17</f>
        <v>0</v>
      </c>
      <c r="F19" s="406">
        <f t="shared" si="0"/>
        <v>0</v>
      </c>
      <c r="G19" s="410" t="s">
        <v>106</v>
      </c>
    </row>
    <row r="20" ht="39" spans="1:7">
      <c r="A20" s="404">
        <v>18</v>
      </c>
      <c r="B20" s="10" t="s">
        <v>90</v>
      </c>
      <c r="C20" s="404" t="s">
        <v>102</v>
      </c>
      <c r="D20" s="406">
        <v>6359.48</v>
      </c>
      <c r="E20" s="411">
        <f>E17</f>
        <v>0</v>
      </c>
      <c r="F20" s="406">
        <f t="shared" si="0"/>
        <v>0</v>
      </c>
      <c r="G20" s="410" t="s">
        <v>106</v>
      </c>
    </row>
    <row r="21" ht="39" spans="1:7">
      <c r="A21" s="404">
        <v>19</v>
      </c>
      <c r="B21" s="10" t="s">
        <v>89</v>
      </c>
      <c r="C21" s="404" t="s">
        <v>102</v>
      </c>
      <c r="D21" s="406">
        <v>6359.48</v>
      </c>
      <c r="E21" s="411">
        <f>E17</f>
        <v>0</v>
      </c>
      <c r="F21" s="406">
        <f t="shared" si="0"/>
        <v>0</v>
      </c>
      <c r="G21" s="410" t="s">
        <v>106</v>
      </c>
    </row>
    <row r="22" ht="39" spans="1:7">
      <c r="A22" s="404">
        <v>20</v>
      </c>
      <c r="B22" s="10" t="s">
        <v>59</v>
      </c>
      <c r="C22" s="404" t="s">
        <v>102</v>
      </c>
      <c r="D22" s="406">
        <v>6359.48</v>
      </c>
      <c r="E22" s="411">
        <f>E17</f>
        <v>0</v>
      </c>
      <c r="F22" s="406">
        <f t="shared" si="0"/>
        <v>0</v>
      </c>
      <c r="G22" s="410" t="s">
        <v>106</v>
      </c>
    </row>
    <row r="23" ht="39" spans="1:7">
      <c r="A23" s="404">
        <v>21</v>
      </c>
      <c r="B23" s="10" t="s">
        <v>60</v>
      </c>
      <c r="C23" s="404" t="s">
        <v>102</v>
      </c>
      <c r="D23" s="406">
        <v>6359.48</v>
      </c>
      <c r="E23" s="411">
        <f>E17</f>
        <v>0</v>
      </c>
      <c r="F23" s="406">
        <f t="shared" si="0"/>
        <v>0</v>
      </c>
      <c r="G23" s="410" t="s">
        <v>106</v>
      </c>
    </row>
    <row r="24" ht="39" spans="1:7">
      <c r="A24" s="404">
        <v>22</v>
      </c>
      <c r="B24" s="10" t="s">
        <v>107</v>
      </c>
      <c r="C24" s="404" t="s">
        <v>102</v>
      </c>
      <c r="D24" s="406">
        <v>13157.01</v>
      </c>
      <c r="E24" s="412">
        <f>'[2]F宿9#10（F宿3~8#、F宿11#~14#'!M67</f>
        <v>0</v>
      </c>
      <c r="F24" s="406">
        <f t="shared" si="0"/>
        <v>0</v>
      </c>
      <c r="G24" s="410" t="s">
        <v>108</v>
      </c>
    </row>
    <row r="25" ht="39" spans="1:7">
      <c r="A25" s="404">
        <v>23</v>
      </c>
      <c r="B25" s="10" t="s">
        <v>109</v>
      </c>
      <c r="C25" s="404" t="s">
        <v>102</v>
      </c>
      <c r="D25" s="406">
        <v>13157.01</v>
      </c>
      <c r="E25" s="412">
        <f>E24</f>
        <v>0</v>
      </c>
      <c r="F25" s="406">
        <f t="shared" si="0"/>
        <v>0</v>
      </c>
      <c r="G25" s="410" t="s">
        <v>108</v>
      </c>
    </row>
    <row r="26" ht="39" spans="1:7">
      <c r="A26" s="404">
        <v>24</v>
      </c>
      <c r="B26" s="10" t="s">
        <v>110</v>
      </c>
      <c r="C26" s="404" t="s">
        <v>102</v>
      </c>
      <c r="D26" s="406">
        <v>13157.01</v>
      </c>
      <c r="E26" s="412">
        <f>E24</f>
        <v>0</v>
      </c>
      <c r="F26" s="406">
        <f t="shared" si="0"/>
        <v>0</v>
      </c>
      <c r="G26" s="410" t="s">
        <v>108</v>
      </c>
    </row>
    <row r="27" ht="39" spans="1:7">
      <c r="A27" s="404">
        <v>25</v>
      </c>
      <c r="B27" s="10" t="s">
        <v>111</v>
      </c>
      <c r="C27" s="404" t="s">
        <v>102</v>
      </c>
      <c r="D27" s="406">
        <v>13157.01</v>
      </c>
      <c r="E27" s="412">
        <f>E24</f>
        <v>0</v>
      </c>
      <c r="F27" s="406">
        <f t="shared" si="0"/>
        <v>0</v>
      </c>
      <c r="G27" s="410" t="s">
        <v>108</v>
      </c>
    </row>
    <row r="28" ht="39" spans="1:7">
      <c r="A28" s="404">
        <v>26</v>
      </c>
      <c r="B28" s="10" t="s">
        <v>112</v>
      </c>
      <c r="C28" s="404" t="s">
        <v>102</v>
      </c>
      <c r="D28" s="406">
        <v>13157.01</v>
      </c>
      <c r="E28" s="412">
        <f>E24</f>
        <v>0</v>
      </c>
      <c r="F28" s="406">
        <f t="shared" si="0"/>
        <v>0</v>
      </c>
      <c r="G28" s="410" t="s">
        <v>108</v>
      </c>
    </row>
    <row r="29" ht="39" spans="1:7">
      <c r="A29" s="404">
        <v>27</v>
      </c>
      <c r="B29" s="10" t="s">
        <v>113</v>
      </c>
      <c r="C29" s="404" t="s">
        <v>102</v>
      </c>
      <c r="D29" s="406">
        <v>13157.01</v>
      </c>
      <c r="E29" s="412">
        <f>E24</f>
        <v>0</v>
      </c>
      <c r="F29" s="406">
        <f t="shared" si="0"/>
        <v>0</v>
      </c>
      <c r="G29" s="410" t="s">
        <v>108</v>
      </c>
    </row>
    <row r="30" ht="39" customHeight="1" spans="1:7">
      <c r="A30" s="404">
        <v>28</v>
      </c>
      <c r="B30" s="405" t="s">
        <v>114</v>
      </c>
      <c r="C30" s="404" t="s">
        <v>102</v>
      </c>
      <c r="D30" s="406">
        <v>14550.64</v>
      </c>
      <c r="E30" s="406" t="e">
        <f>'[2]F宿1#2#（套）'!M57</f>
        <v>#REF!</v>
      </c>
      <c r="F30" s="406" t="e">
        <f t="shared" si="0"/>
        <v>#REF!</v>
      </c>
      <c r="G30" s="410"/>
    </row>
    <row r="31" ht="34.95" customHeight="1" spans="1:7">
      <c r="A31" s="404">
        <v>29</v>
      </c>
      <c r="B31" s="405" t="s">
        <v>115</v>
      </c>
      <c r="C31" s="404" t="s">
        <v>102</v>
      </c>
      <c r="D31" s="406">
        <v>16609.44</v>
      </c>
      <c r="E31" s="406" t="e">
        <f>'[2]A教1#2#'!M40</f>
        <v>#REF!</v>
      </c>
      <c r="F31" s="406" t="e">
        <f t="shared" si="0"/>
        <v>#REF!</v>
      </c>
      <c r="G31" s="410"/>
    </row>
    <row r="32" ht="34.95" customHeight="1" spans="1:7">
      <c r="A32" s="404">
        <v>30</v>
      </c>
      <c r="B32" s="405" t="s">
        <v>116</v>
      </c>
      <c r="C32" s="404" t="s">
        <v>102</v>
      </c>
      <c r="D32" s="406">
        <v>16609.44</v>
      </c>
      <c r="E32" s="413">
        <f>+E36</f>
        <v>0</v>
      </c>
      <c r="F32" s="406">
        <f t="shared" si="0"/>
        <v>0</v>
      </c>
      <c r="G32" s="410" t="s">
        <v>117</v>
      </c>
    </row>
    <row r="33" ht="39" spans="1:7">
      <c r="A33" s="404">
        <v>31</v>
      </c>
      <c r="B33" s="10" t="s">
        <v>58</v>
      </c>
      <c r="C33" s="404" t="s">
        <v>102</v>
      </c>
      <c r="D33" s="406">
        <v>16609.44</v>
      </c>
      <c r="E33" s="413">
        <f>'[2]F教1#~F教4#、E教1#~E教6#'!M40</f>
        <v>0</v>
      </c>
      <c r="F33" s="406">
        <f t="shared" si="0"/>
        <v>0</v>
      </c>
      <c r="G33" s="410" t="s">
        <v>118</v>
      </c>
    </row>
    <row r="34" ht="39" spans="1:7">
      <c r="A34" s="404">
        <v>32</v>
      </c>
      <c r="B34" s="10" t="s">
        <v>57</v>
      </c>
      <c r="C34" s="404" t="s">
        <v>102</v>
      </c>
      <c r="D34" s="406">
        <v>16609.44</v>
      </c>
      <c r="E34" s="413">
        <f>E33</f>
        <v>0</v>
      </c>
      <c r="F34" s="406">
        <f t="shared" si="0"/>
        <v>0</v>
      </c>
      <c r="G34" s="410" t="s">
        <v>118</v>
      </c>
    </row>
    <row r="35" ht="39" spans="1:7">
      <c r="A35" s="404">
        <v>33</v>
      </c>
      <c r="B35" s="10" t="s">
        <v>85</v>
      </c>
      <c r="C35" s="404" t="s">
        <v>102</v>
      </c>
      <c r="D35" s="406">
        <v>16609.44</v>
      </c>
      <c r="E35" s="413">
        <f>E33</f>
        <v>0</v>
      </c>
      <c r="F35" s="406">
        <f t="shared" si="0"/>
        <v>0</v>
      </c>
      <c r="G35" s="410" t="s">
        <v>118</v>
      </c>
    </row>
    <row r="36" ht="39" spans="1:7">
      <c r="A36" s="404">
        <v>34</v>
      </c>
      <c r="B36" s="10" t="s">
        <v>91</v>
      </c>
      <c r="C36" s="404" t="s">
        <v>102</v>
      </c>
      <c r="D36" s="406">
        <v>16609.44</v>
      </c>
      <c r="E36" s="413">
        <f>E33</f>
        <v>0</v>
      </c>
      <c r="F36" s="406">
        <f t="shared" si="0"/>
        <v>0</v>
      </c>
      <c r="G36" s="410" t="s">
        <v>118</v>
      </c>
    </row>
    <row r="37" ht="39" spans="1:7">
      <c r="A37" s="404">
        <v>35</v>
      </c>
      <c r="B37" s="10" t="s">
        <v>86</v>
      </c>
      <c r="C37" s="404" t="s">
        <v>102</v>
      </c>
      <c r="D37" s="406">
        <v>16609.44</v>
      </c>
      <c r="E37" s="413">
        <f>E33</f>
        <v>0</v>
      </c>
      <c r="F37" s="406">
        <f t="shared" si="0"/>
        <v>0</v>
      </c>
      <c r="G37" s="410" t="s">
        <v>118</v>
      </c>
    </row>
    <row r="38" ht="37.95" customHeight="1" spans="1:7">
      <c r="A38" s="404">
        <v>36</v>
      </c>
      <c r="B38" s="405" t="s">
        <v>82</v>
      </c>
      <c r="C38" s="404" t="s">
        <v>102</v>
      </c>
      <c r="D38" s="406">
        <v>16764.81</v>
      </c>
      <c r="E38" s="406" t="e">
        <f>'[2]H行政1#-H行政2#'!M67</f>
        <v>#REF!</v>
      </c>
      <c r="F38" s="406" t="e">
        <f t="shared" si="0"/>
        <v>#REF!</v>
      </c>
      <c r="G38" s="404"/>
    </row>
    <row r="39" ht="37.95" customHeight="1" spans="1:7">
      <c r="A39" s="404">
        <v>37</v>
      </c>
      <c r="B39" s="405" t="s">
        <v>83</v>
      </c>
      <c r="C39" s="404" t="s">
        <v>102</v>
      </c>
      <c r="D39" s="406">
        <v>47884.95</v>
      </c>
      <c r="E39" s="414" t="e">
        <f>[2]H图文信息中心!M98</f>
        <v>#REF!</v>
      </c>
      <c r="F39" s="406" t="e">
        <f t="shared" si="0"/>
        <v>#REF!</v>
      </c>
      <c r="G39" s="404"/>
    </row>
    <row r="40" ht="34.95" customHeight="1" spans="1:7">
      <c r="A40" s="404">
        <v>38</v>
      </c>
      <c r="B40" s="404" t="s">
        <v>119</v>
      </c>
      <c r="C40" s="404" t="s">
        <v>102</v>
      </c>
      <c r="D40" s="406">
        <v>37704.38</v>
      </c>
      <c r="E40" s="406" t="e">
        <f>[2]G综合楼!M136</f>
        <v>#REF!</v>
      </c>
      <c r="F40" s="406" t="e">
        <f t="shared" si="0"/>
        <v>#REF!</v>
      </c>
      <c r="G40" s="415"/>
    </row>
    <row r="41" ht="34.95" customHeight="1" spans="1:7">
      <c r="A41" s="404">
        <v>39</v>
      </c>
      <c r="B41" s="416" t="s">
        <v>120</v>
      </c>
      <c r="C41" s="404" t="s">
        <v>102</v>
      </c>
      <c r="D41" s="417">
        <v>12214.11</v>
      </c>
      <c r="E41" s="406" t="e">
        <f>'[2]F医1#-F医2#'!M47</f>
        <v>#REF!</v>
      </c>
      <c r="F41" s="406" t="e">
        <f t="shared" si="0"/>
        <v>#REF!</v>
      </c>
      <c r="G41" s="415"/>
    </row>
    <row r="42" ht="34.95" customHeight="1" spans="1:7">
      <c r="A42" s="404">
        <v>40</v>
      </c>
      <c r="B42" s="243" t="s">
        <v>121</v>
      </c>
      <c r="C42" s="404" t="s">
        <v>102</v>
      </c>
      <c r="D42" s="417">
        <v>18485.5</v>
      </c>
      <c r="E42" s="406">
        <f>'[2]H艺院1#2#'!L47</f>
        <v>0</v>
      </c>
      <c r="F42" s="406">
        <f t="shared" si="0"/>
        <v>0</v>
      </c>
      <c r="G42" s="415"/>
    </row>
    <row r="43" ht="34.95" customHeight="1" spans="1:7">
      <c r="A43" s="404">
        <v>41</v>
      </c>
      <c r="B43" s="243" t="s">
        <v>92</v>
      </c>
      <c r="C43" s="404" t="s">
        <v>102</v>
      </c>
      <c r="D43" s="417">
        <v>9613.83</v>
      </c>
      <c r="E43" s="406">
        <f>[2]游泳馆!L40</f>
        <v>0</v>
      </c>
      <c r="F43" s="406">
        <f t="shared" si="0"/>
        <v>0</v>
      </c>
      <c r="G43" s="415"/>
    </row>
    <row r="44" s="400" customFormat="1" ht="42" customHeight="1" spans="1:7">
      <c r="A44" s="418"/>
      <c r="B44" s="418" t="s">
        <v>122</v>
      </c>
      <c r="C44" s="418"/>
      <c r="D44" s="419">
        <f>SUM(D3:D43)</f>
        <v>505322.2</v>
      </c>
      <c r="E44" s="419" t="e">
        <f>SUM(E3:E43)</f>
        <v>#REF!</v>
      </c>
      <c r="F44" s="419" t="e">
        <f t="shared" si="0"/>
        <v>#REF!</v>
      </c>
      <c r="G44" s="418"/>
    </row>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sheetData>
  <mergeCells count="2">
    <mergeCell ref="A1:G1"/>
    <mergeCell ref="B44:C44"/>
  </mergeCells>
  <printOptions horizontalCentered="1"/>
  <pageMargins left="0.393055555555556" right="0.393055555555556" top="0.393055555555556" bottom="0.393055555555556" header="0.5" footer="0.5"/>
  <pageSetup paperSize="9" scale="88"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34"/>
  <sheetViews>
    <sheetView view="pageBreakPreview" zoomScaleNormal="100" topLeftCell="A24" workbookViewId="0">
      <selection activeCell="C25" sqref="C25"/>
    </sheetView>
  </sheetViews>
  <sheetFormatPr defaultColWidth="9" defaultRowHeight="12" customHeight="1" outlineLevelCol="5"/>
  <cols>
    <col min="1" max="1" width="5.66363636363636" style="379" customWidth="1"/>
    <col min="2" max="2" width="30.6636363636364" style="379" customWidth="1"/>
    <col min="3" max="3" width="8.66363636363636" style="379" customWidth="1"/>
    <col min="4" max="4" width="10.6636363636364" style="379" customWidth="1"/>
    <col min="5" max="5" width="44.2181818181818" style="379" customWidth="1"/>
    <col min="6" max="16384" width="9" style="379"/>
  </cols>
  <sheetData>
    <row r="1" ht="30" customHeight="1" spans="1:6">
      <c r="A1" s="380" t="s">
        <v>123</v>
      </c>
      <c r="B1" s="380"/>
      <c r="C1" s="380"/>
      <c r="D1" s="380"/>
      <c r="E1" s="380"/>
      <c r="F1" s="381"/>
    </row>
    <row r="2" ht="19.95" customHeight="1" spans="1:5">
      <c r="A2" s="382" t="s">
        <v>97</v>
      </c>
      <c r="B2" s="382" t="s">
        <v>124</v>
      </c>
      <c r="C2" s="382" t="s">
        <v>125</v>
      </c>
      <c r="D2" s="382" t="s">
        <v>126</v>
      </c>
      <c r="E2" s="383" t="s">
        <v>43</v>
      </c>
    </row>
    <row r="3" ht="19.95" customHeight="1" spans="1:5">
      <c r="A3" s="382">
        <v>1</v>
      </c>
      <c r="B3" s="384" t="s">
        <v>127</v>
      </c>
      <c r="C3" s="382" t="s">
        <v>128</v>
      </c>
      <c r="D3" s="385">
        <v>220</v>
      </c>
      <c r="E3" s="386" t="s">
        <v>129</v>
      </c>
    </row>
    <row r="4" ht="19.95" customHeight="1" spans="1:5">
      <c r="A4" s="382">
        <v>2</v>
      </c>
      <c r="B4" s="384" t="s">
        <v>127</v>
      </c>
      <c r="C4" s="382" t="s">
        <v>128</v>
      </c>
      <c r="D4" s="385">
        <v>320</v>
      </c>
      <c r="E4" s="386" t="s">
        <v>130</v>
      </c>
    </row>
    <row r="5" ht="19.95" customHeight="1" spans="1:5">
      <c r="A5" s="382">
        <v>3</v>
      </c>
      <c r="B5" s="384" t="s">
        <v>131</v>
      </c>
      <c r="C5" s="382" t="s">
        <v>132</v>
      </c>
      <c r="D5" s="382">
        <v>15</v>
      </c>
      <c r="E5" s="386" t="s">
        <v>133</v>
      </c>
    </row>
    <row r="6" ht="19.95" customHeight="1" spans="1:5">
      <c r="A6" s="382">
        <v>4</v>
      </c>
      <c r="B6" s="384" t="s">
        <v>134</v>
      </c>
      <c r="C6" s="382" t="s">
        <v>135</v>
      </c>
      <c r="D6" s="382">
        <v>80</v>
      </c>
      <c r="E6" s="386" t="s">
        <v>133</v>
      </c>
    </row>
    <row r="7" ht="19.95" customHeight="1" spans="1:5">
      <c r="A7" s="382">
        <v>5</v>
      </c>
      <c r="B7" s="384" t="s">
        <v>136</v>
      </c>
      <c r="C7" s="382" t="s">
        <v>135</v>
      </c>
      <c r="D7" s="385">
        <v>800</v>
      </c>
      <c r="E7" s="386" t="s">
        <v>133</v>
      </c>
    </row>
    <row r="8" ht="19.95" customHeight="1" spans="1:5">
      <c r="A8" s="382">
        <v>6</v>
      </c>
      <c r="B8" s="384" t="s">
        <v>137</v>
      </c>
      <c r="C8" s="382" t="s">
        <v>138</v>
      </c>
      <c r="D8" s="385">
        <v>20</v>
      </c>
      <c r="E8" s="386" t="s">
        <v>139</v>
      </c>
    </row>
    <row r="9" ht="19.95" customHeight="1" spans="1:5">
      <c r="A9" s="382">
        <v>7</v>
      </c>
      <c r="B9" s="384" t="s">
        <v>140</v>
      </c>
      <c r="C9" s="382" t="s">
        <v>138</v>
      </c>
      <c r="D9" s="385" t="s">
        <v>141</v>
      </c>
      <c r="E9" s="386" t="s">
        <v>139</v>
      </c>
    </row>
    <row r="10" ht="19.95" customHeight="1" spans="1:5">
      <c r="A10" s="382">
        <v>8</v>
      </c>
      <c r="B10" s="384" t="s">
        <v>142</v>
      </c>
      <c r="C10" s="382" t="s">
        <v>135</v>
      </c>
      <c r="D10" s="385">
        <v>750</v>
      </c>
      <c r="E10" s="386" t="s">
        <v>133</v>
      </c>
    </row>
    <row r="11" ht="19.95" customHeight="1" spans="1:5">
      <c r="A11" s="382">
        <v>9</v>
      </c>
      <c r="B11" s="384" t="s">
        <v>143</v>
      </c>
      <c r="C11" s="382" t="s">
        <v>135</v>
      </c>
      <c r="D11" s="385"/>
      <c r="E11" s="386" t="s">
        <v>144</v>
      </c>
    </row>
    <row r="12" ht="30" customHeight="1" spans="1:5">
      <c r="A12" s="382">
        <v>10</v>
      </c>
      <c r="B12" s="387" t="s">
        <v>145</v>
      </c>
      <c r="C12" s="388" t="s">
        <v>132</v>
      </c>
      <c r="D12" s="389">
        <v>35</v>
      </c>
      <c r="E12" s="390" t="s">
        <v>146</v>
      </c>
    </row>
    <row r="13" ht="30" customHeight="1" spans="1:5">
      <c r="A13" s="382">
        <v>11</v>
      </c>
      <c r="B13" s="387" t="s">
        <v>147</v>
      </c>
      <c r="C13" s="388" t="s">
        <v>132</v>
      </c>
      <c r="D13" s="389">
        <v>35</v>
      </c>
      <c r="E13" s="390" t="s">
        <v>146</v>
      </c>
    </row>
    <row r="14" ht="19.95" customHeight="1" spans="1:5">
      <c r="A14" s="382">
        <v>12</v>
      </c>
      <c r="B14" s="391" t="s">
        <v>148</v>
      </c>
      <c r="C14" s="382" t="s">
        <v>132</v>
      </c>
      <c r="D14" s="382">
        <v>22</v>
      </c>
      <c r="E14" s="386" t="s">
        <v>133</v>
      </c>
    </row>
    <row r="15" ht="19.95" customHeight="1" spans="1:5">
      <c r="A15" s="382">
        <v>13</v>
      </c>
      <c r="B15" s="391" t="s">
        <v>149</v>
      </c>
      <c r="C15" s="382" t="s">
        <v>132</v>
      </c>
      <c r="D15" s="382">
        <v>28</v>
      </c>
      <c r="E15" s="386" t="s">
        <v>133</v>
      </c>
    </row>
    <row r="16" ht="19.95" customHeight="1" spans="1:5">
      <c r="A16" s="382">
        <v>14</v>
      </c>
      <c r="B16" s="391" t="s">
        <v>150</v>
      </c>
      <c r="C16" s="382" t="s">
        <v>151</v>
      </c>
      <c r="D16" s="382">
        <v>4</v>
      </c>
      <c r="E16" s="391" t="s">
        <v>152</v>
      </c>
    </row>
    <row r="17" ht="19.95" customHeight="1" spans="1:5">
      <c r="A17" s="382">
        <v>15</v>
      </c>
      <c r="B17" s="391" t="s">
        <v>153</v>
      </c>
      <c r="C17" s="382" t="s">
        <v>132</v>
      </c>
      <c r="D17" s="382">
        <v>80</v>
      </c>
      <c r="E17" s="391" t="s">
        <v>154</v>
      </c>
    </row>
    <row r="18" ht="19.95" customHeight="1" spans="1:5">
      <c r="A18" s="382">
        <v>16</v>
      </c>
      <c r="B18" s="391" t="s">
        <v>155</v>
      </c>
      <c r="C18" s="382" t="s">
        <v>132</v>
      </c>
      <c r="D18" s="392">
        <v>55</v>
      </c>
      <c r="E18" s="391" t="s">
        <v>156</v>
      </c>
    </row>
    <row r="19" ht="19.95" customHeight="1" spans="1:5">
      <c r="A19" s="382">
        <v>17</v>
      </c>
      <c r="B19" s="391" t="s">
        <v>157</v>
      </c>
      <c r="C19" s="382" t="s">
        <v>132</v>
      </c>
      <c r="D19" s="382">
        <v>80</v>
      </c>
      <c r="E19" s="391" t="s">
        <v>158</v>
      </c>
    </row>
    <row r="20" ht="19.95" customHeight="1" spans="1:5">
      <c r="A20" s="382">
        <v>18</v>
      </c>
      <c r="B20" s="393" t="s">
        <v>159</v>
      </c>
      <c r="C20" s="392" t="s">
        <v>138</v>
      </c>
      <c r="D20" s="392">
        <v>55</v>
      </c>
      <c r="E20" s="393" t="s">
        <v>160</v>
      </c>
    </row>
    <row r="21" ht="19.95" customHeight="1" spans="1:5">
      <c r="A21" s="382">
        <v>19</v>
      </c>
      <c r="B21" s="393" t="s">
        <v>159</v>
      </c>
      <c r="C21" s="392" t="s">
        <v>138</v>
      </c>
      <c r="D21" s="392">
        <v>48</v>
      </c>
      <c r="E21" s="393" t="s">
        <v>161</v>
      </c>
    </row>
    <row r="22" ht="19.95" customHeight="1" spans="1:5">
      <c r="A22" s="382">
        <v>20</v>
      </c>
      <c r="B22" s="394" t="s">
        <v>162</v>
      </c>
      <c r="C22" s="392" t="s">
        <v>138</v>
      </c>
      <c r="D22" s="392">
        <v>60</v>
      </c>
      <c r="E22" s="393" t="s">
        <v>160</v>
      </c>
    </row>
    <row r="23" ht="19.95" customHeight="1" spans="1:5">
      <c r="A23" s="382">
        <v>21</v>
      </c>
      <c r="B23" s="394" t="s">
        <v>162</v>
      </c>
      <c r="C23" s="392" t="s">
        <v>138</v>
      </c>
      <c r="D23" s="392">
        <v>50</v>
      </c>
      <c r="E23" s="393" t="s">
        <v>161</v>
      </c>
    </row>
    <row r="24" ht="19.95" customHeight="1" spans="1:5">
      <c r="A24" s="382">
        <v>22</v>
      </c>
      <c r="B24" s="393" t="s">
        <v>163</v>
      </c>
      <c r="C24" s="392" t="s">
        <v>138</v>
      </c>
      <c r="D24" s="392">
        <v>15</v>
      </c>
      <c r="E24" s="393" t="s">
        <v>164</v>
      </c>
    </row>
    <row r="25" ht="19.95" customHeight="1" spans="1:5">
      <c r="A25" s="382">
        <v>23</v>
      </c>
      <c r="B25" s="393" t="s">
        <v>163</v>
      </c>
      <c r="C25" s="392" t="s">
        <v>138</v>
      </c>
      <c r="D25" s="392">
        <v>12</v>
      </c>
      <c r="E25" s="393" t="s">
        <v>165</v>
      </c>
    </row>
    <row r="26" ht="19.95" customHeight="1" spans="1:5">
      <c r="A26" s="382">
        <v>24</v>
      </c>
      <c r="B26" s="393" t="s">
        <v>166</v>
      </c>
      <c r="C26" s="392" t="s">
        <v>151</v>
      </c>
      <c r="D26" s="395">
        <v>4.5</v>
      </c>
      <c r="E26" s="393" t="s">
        <v>167</v>
      </c>
    </row>
    <row r="27" ht="19.95" customHeight="1" spans="1:5">
      <c r="A27" s="382">
        <v>25</v>
      </c>
      <c r="B27" s="393" t="s">
        <v>168</v>
      </c>
      <c r="C27" s="392" t="s">
        <v>151</v>
      </c>
      <c r="D27" s="395">
        <v>8</v>
      </c>
      <c r="E27" s="393" t="s">
        <v>169</v>
      </c>
    </row>
    <row r="28" ht="19.95" customHeight="1" spans="1:5">
      <c r="A28" s="382">
        <v>26</v>
      </c>
      <c r="B28" s="396" t="s">
        <v>170</v>
      </c>
      <c r="C28" s="382" t="s">
        <v>151</v>
      </c>
      <c r="D28" s="382">
        <v>4</v>
      </c>
      <c r="E28" s="396" t="s">
        <v>171</v>
      </c>
    </row>
    <row r="29" ht="19.95" customHeight="1" spans="1:5">
      <c r="A29" s="382">
        <v>27</v>
      </c>
      <c r="B29" s="396" t="s">
        <v>172</v>
      </c>
      <c r="C29" s="382" t="s">
        <v>138</v>
      </c>
      <c r="D29" s="382">
        <v>20</v>
      </c>
      <c r="E29" s="396" t="s">
        <v>173</v>
      </c>
    </row>
    <row r="30" ht="19.95" customHeight="1" spans="1:5">
      <c r="A30" s="382">
        <v>28</v>
      </c>
      <c r="B30" s="396" t="s">
        <v>174</v>
      </c>
      <c r="C30" s="382" t="s">
        <v>175</v>
      </c>
      <c r="D30" s="382">
        <v>6</v>
      </c>
      <c r="E30" s="396" t="s">
        <v>176</v>
      </c>
    </row>
    <row r="31" ht="19.95" customHeight="1" spans="1:5">
      <c r="A31" s="382">
        <v>29</v>
      </c>
      <c r="B31" s="396" t="s">
        <v>177</v>
      </c>
      <c r="C31" s="382" t="s">
        <v>178</v>
      </c>
      <c r="D31" s="382">
        <v>450</v>
      </c>
      <c r="E31" s="396" t="s">
        <v>176</v>
      </c>
    </row>
    <row r="32" ht="30" customHeight="1" spans="1:5">
      <c r="A32" s="386" t="s">
        <v>179</v>
      </c>
      <c r="B32" s="386"/>
      <c r="C32" s="386"/>
      <c r="D32" s="386"/>
      <c r="E32" s="386"/>
    </row>
    <row r="33" ht="49.95" customHeight="1" spans="1:5">
      <c r="A33" s="397" t="s">
        <v>180</v>
      </c>
      <c r="B33" s="398"/>
      <c r="C33" s="398"/>
      <c r="D33" s="398"/>
      <c r="E33" s="399"/>
    </row>
    <row r="34" ht="18" customHeight="1"/>
  </sheetData>
  <mergeCells count="3">
    <mergeCell ref="A1:E1"/>
    <mergeCell ref="A32:E32"/>
    <mergeCell ref="A33:E33"/>
  </mergeCells>
  <printOptions horizontalCentered="1"/>
  <pageMargins left="0" right="0" top="0" bottom="0"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61"/>
  <sheetViews>
    <sheetView view="pageBreakPreview" zoomScale="102" zoomScaleNormal="100" workbookViewId="0">
      <pane ySplit="4" topLeftCell="A31" activePane="bottomLeft" state="frozen"/>
      <selection/>
      <selection pane="bottomLeft" activeCell="G30" sqref="G30"/>
    </sheetView>
  </sheetViews>
  <sheetFormatPr defaultColWidth="9" defaultRowHeight="14"/>
  <cols>
    <col min="1" max="1" width="5.66363636363636" style="47" customWidth="1"/>
    <col min="2" max="2" width="15.6636363636364" style="47" customWidth="1"/>
    <col min="3" max="3" width="23" style="47" customWidth="1"/>
    <col min="4" max="4" width="20.6636363636364" style="47" customWidth="1"/>
    <col min="5" max="5" width="5.66363636363636" style="47" customWidth="1"/>
    <col min="6" max="7" width="10.6636363636364" style="47" customWidth="1"/>
    <col min="8" max="12" width="10.6636363636364" style="50" customWidth="1"/>
    <col min="13" max="14" width="12.6636363636364" style="50" customWidth="1"/>
    <col min="15" max="16384" width="9" style="50"/>
  </cols>
  <sheetData>
    <row r="1" s="46" customFormat="1" ht="30" customHeight="1" spans="1:14">
      <c r="A1" s="99" t="s">
        <v>181</v>
      </c>
      <c r="B1" s="99"/>
      <c r="C1" s="99"/>
      <c r="D1" s="99"/>
      <c r="E1" s="99"/>
      <c r="F1" s="99"/>
      <c r="G1" s="99"/>
      <c r="H1" s="99"/>
      <c r="I1" s="99"/>
      <c r="J1" s="99"/>
      <c r="K1" s="99"/>
      <c r="L1" s="99"/>
      <c r="M1" s="99"/>
      <c r="N1" s="99"/>
    </row>
    <row r="2" ht="20.1" customHeight="1" spans="1:14">
      <c r="A2" s="100" t="s">
        <v>97</v>
      </c>
      <c r="B2" s="100" t="s">
        <v>182</v>
      </c>
      <c r="C2" s="100" t="s">
        <v>183</v>
      </c>
      <c r="D2" s="100" t="s">
        <v>184</v>
      </c>
      <c r="E2" s="100" t="s">
        <v>125</v>
      </c>
      <c r="F2" s="100" t="s">
        <v>185</v>
      </c>
      <c r="G2" s="100" t="s">
        <v>186</v>
      </c>
      <c r="H2" s="101"/>
      <c r="I2" s="100"/>
      <c r="J2" s="153"/>
      <c r="K2" s="153" t="s">
        <v>187</v>
      </c>
      <c r="L2" s="153" t="s">
        <v>188</v>
      </c>
      <c r="M2" s="100" t="s">
        <v>43</v>
      </c>
      <c r="N2" s="376"/>
    </row>
    <row r="3" ht="20.1" customHeight="1" spans="1:14">
      <c r="A3" s="100"/>
      <c r="B3" s="100"/>
      <c r="C3" s="100"/>
      <c r="D3" s="100"/>
      <c r="E3" s="100"/>
      <c r="F3" s="100"/>
      <c r="G3" s="100" t="s">
        <v>189</v>
      </c>
      <c r="H3" s="100" t="s">
        <v>190</v>
      </c>
      <c r="I3" s="153" t="s">
        <v>191</v>
      </c>
      <c r="J3" s="153" t="s">
        <v>192</v>
      </c>
      <c r="K3" s="153"/>
      <c r="L3" s="153"/>
      <c r="M3" s="100"/>
      <c r="N3" s="376"/>
    </row>
    <row r="4" ht="20.1" customHeight="1" spans="1:14">
      <c r="A4" s="100"/>
      <c r="B4" s="100"/>
      <c r="C4" s="100"/>
      <c r="D4" s="100"/>
      <c r="E4" s="100"/>
      <c r="F4" s="100"/>
      <c r="G4" s="100"/>
      <c r="H4" s="100"/>
      <c r="I4" s="101"/>
      <c r="J4" s="101"/>
      <c r="K4" s="153"/>
      <c r="L4" s="153"/>
      <c r="M4" s="100"/>
      <c r="N4" s="376"/>
    </row>
    <row r="5" s="334" customFormat="1" ht="30" customHeight="1" spans="1:14">
      <c r="A5" s="220" t="s">
        <v>193</v>
      </c>
      <c r="B5" s="221" t="s">
        <v>194</v>
      </c>
      <c r="C5" s="221"/>
      <c r="D5" s="222"/>
      <c r="E5" s="222"/>
      <c r="F5" s="222"/>
      <c r="G5" s="223"/>
      <c r="H5" s="224"/>
      <c r="I5" s="224"/>
      <c r="J5" s="224"/>
      <c r="K5" s="224"/>
      <c r="L5" s="231"/>
      <c r="M5" s="224"/>
      <c r="N5" s="377"/>
    </row>
    <row r="6" s="97" customFormat="1" ht="120" spans="1:14">
      <c r="A6" s="24">
        <v>1</v>
      </c>
      <c r="B6" s="63" t="s">
        <v>195</v>
      </c>
      <c r="C6" s="63" t="s">
        <v>196</v>
      </c>
      <c r="D6" s="76" t="s">
        <v>197</v>
      </c>
      <c r="E6" s="225" t="s">
        <v>198</v>
      </c>
      <c r="F6" s="64">
        <f>2594.86+2503.44+2563.12+8.056+6.745</f>
        <v>7676.221</v>
      </c>
      <c r="G6" s="29"/>
      <c r="H6" s="29"/>
      <c r="I6" s="42">
        <f>SUM(G6:H6)*$I$4</f>
        <v>0</v>
      </c>
      <c r="J6" s="42">
        <f>SUM(G6:I6)*$J$4</f>
        <v>0</v>
      </c>
      <c r="K6" s="42">
        <f t="shared" ref="K6:K14" si="0">SUM(G6:J6)</f>
        <v>0</v>
      </c>
      <c r="L6" s="42">
        <f t="shared" ref="L6:L14" si="1">F6*K6</f>
        <v>0</v>
      </c>
      <c r="M6" s="16" t="s">
        <v>199</v>
      </c>
      <c r="N6" s="346"/>
    </row>
    <row r="7" s="97" customFormat="1" ht="120" spans="1:14">
      <c r="A7" s="24">
        <v>2</v>
      </c>
      <c r="B7" s="63" t="s">
        <v>195</v>
      </c>
      <c r="C7" s="63" t="s">
        <v>200</v>
      </c>
      <c r="D7" s="76" t="s">
        <v>197</v>
      </c>
      <c r="E7" s="225" t="s">
        <v>198</v>
      </c>
      <c r="F7" s="64">
        <f>7.85*3</f>
        <v>23.55</v>
      </c>
      <c r="G7" s="29"/>
      <c r="H7" s="29"/>
      <c r="I7" s="42">
        <f>SUM(G7:H7)*$I$4</f>
        <v>0</v>
      </c>
      <c r="J7" s="42">
        <f>SUM(G7:I7)*$J$4</f>
        <v>0</v>
      </c>
      <c r="K7" s="42">
        <f t="shared" si="0"/>
        <v>0</v>
      </c>
      <c r="L7" s="42">
        <f t="shared" si="1"/>
        <v>0</v>
      </c>
      <c r="M7" s="16" t="s">
        <v>199</v>
      </c>
      <c r="N7" s="346"/>
    </row>
    <row r="8" s="97" customFormat="1" ht="126" customHeight="1" spans="1:14">
      <c r="A8" s="24">
        <v>3</v>
      </c>
      <c r="B8" s="63" t="s">
        <v>201</v>
      </c>
      <c r="C8" s="63" t="s">
        <v>202</v>
      </c>
      <c r="D8" s="76" t="s">
        <v>197</v>
      </c>
      <c r="E8" s="225" t="s">
        <v>198</v>
      </c>
      <c r="F8" s="64">
        <f>212.02+257.48*2</f>
        <v>726.98</v>
      </c>
      <c r="G8" s="29"/>
      <c r="H8" s="29"/>
      <c r="I8" s="42">
        <f>SUM(G8:H8)*$I$4</f>
        <v>0</v>
      </c>
      <c r="J8" s="42">
        <f>SUM(G8:I8)*$J$4</f>
        <v>0</v>
      </c>
      <c r="K8" s="42">
        <f t="shared" si="0"/>
        <v>0</v>
      </c>
      <c r="L8" s="42">
        <f t="shared" si="1"/>
        <v>0</v>
      </c>
      <c r="M8" s="16" t="s">
        <v>203</v>
      </c>
      <c r="N8" s="346"/>
    </row>
    <row r="9" s="348" customFormat="1" ht="96" spans="1:14">
      <c r="A9" s="301">
        <v>5</v>
      </c>
      <c r="B9" s="339" t="s">
        <v>204</v>
      </c>
      <c r="C9" s="339" t="s">
        <v>205</v>
      </c>
      <c r="D9" s="304" t="s">
        <v>206</v>
      </c>
      <c r="E9" s="350" t="s">
        <v>175</v>
      </c>
      <c r="F9" s="340">
        <f>3.54*3+1.8+2.6+1.5+2.74</f>
        <v>19.26</v>
      </c>
      <c r="G9" s="307"/>
      <c r="H9" s="307"/>
      <c r="I9" s="331">
        <f>SUM(G9:H9)*$I$4</f>
        <v>0</v>
      </c>
      <c r="J9" s="331">
        <f>SUM(G9:I9)*$J$4</f>
        <v>0</v>
      </c>
      <c r="K9" s="331">
        <f t="shared" si="0"/>
        <v>0</v>
      </c>
      <c r="L9" s="331">
        <f t="shared" si="1"/>
        <v>0</v>
      </c>
      <c r="M9" s="16" t="s">
        <v>207</v>
      </c>
      <c r="N9" s="346"/>
    </row>
    <row r="10" s="348" customFormat="1" ht="24" spans="1:14">
      <c r="A10" s="301">
        <v>7</v>
      </c>
      <c r="B10" s="339" t="s">
        <v>208</v>
      </c>
      <c r="C10" s="339" t="s">
        <v>209</v>
      </c>
      <c r="D10" s="339" t="s">
        <v>210</v>
      </c>
      <c r="E10" s="339" t="s">
        <v>211</v>
      </c>
      <c r="F10" s="305">
        <v>27.56</v>
      </c>
      <c r="G10" s="305"/>
      <c r="H10" s="351"/>
      <c r="I10" s="331">
        <f>SUM(G10:H10)*$I$4</f>
        <v>0</v>
      </c>
      <c r="J10" s="331">
        <f>SUM(G10:I10)*$J$4</f>
        <v>0</v>
      </c>
      <c r="K10" s="331">
        <f t="shared" si="0"/>
        <v>0</v>
      </c>
      <c r="L10" s="331">
        <f t="shared" si="1"/>
        <v>0</v>
      </c>
      <c r="M10" s="307" t="s">
        <v>212</v>
      </c>
      <c r="N10" s="346"/>
    </row>
    <row r="11" s="348" customFormat="1" ht="24" spans="1:14">
      <c r="A11" s="301">
        <v>8</v>
      </c>
      <c r="B11" s="339" t="s">
        <v>213</v>
      </c>
      <c r="C11" s="339" t="s">
        <v>214</v>
      </c>
      <c r="D11" s="339" t="s">
        <v>215</v>
      </c>
      <c r="E11" s="339" t="s">
        <v>211</v>
      </c>
      <c r="F11" s="305">
        <f>+F10</f>
        <v>27.56</v>
      </c>
      <c r="G11" s="305"/>
      <c r="H11" s="351"/>
      <c r="I11" s="331">
        <f>SUM(G11:H11)*$I$4</f>
        <v>0</v>
      </c>
      <c r="J11" s="331">
        <f>SUM(G11:I11)*$J$4</f>
        <v>0</v>
      </c>
      <c r="K11" s="331">
        <f t="shared" si="0"/>
        <v>0</v>
      </c>
      <c r="L11" s="331">
        <f t="shared" si="1"/>
        <v>0</v>
      </c>
      <c r="M11" s="307" t="s">
        <v>212</v>
      </c>
      <c r="N11" s="346"/>
    </row>
    <row r="12" s="348" customFormat="1" ht="96" spans="1:14">
      <c r="A12" s="301">
        <v>9</v>
      </c>
      <c r="B12" s="339" t="s">
        <v>216</v>
      </c>
      <c r="C12" s="339" t="s">
        <v>217</v>
      </c>
      <c r="D12" s="339" t="s">
        <v>197</v>
      </c>
      <c r="E12" s="339" t="s">
        <v>198</v>
      </c>
      <c r="F12" s="305">
        <f>2.504*3</f>
        <v>7.512</v>
      </c>
      <c r="G12" s="305"/>
      <c r="H12" s="351"/>
      <c r="I12" s="331">
        <f>SUM(G12:H12)*$I$4</f>
        <v>0</v>
      </c>
      <c r="J12" s="331">
        <f>SUM(G12:I12)*$J$4</f>
        <v>0</v>
      </c>
      <c r="K12" s="331">
        <f t="shared" si="0"/>
        <v>0</v>
      </c>
      <c r="L12" s="331">
        <f t="shared" si="1"/>
        <v>0</v>
      </c>
      <c r="M12" s="16" t="s">
        <v>218</v>
      </c>
      <c r="N12" s="346"/>
    </row>
    <row r="13" s="348" customFormat="1" ht="96" spans="1:14">
      <c r="A13" s="301">
        <v>10</v>
      </c>
      <c r="B13" s="339" t="s">
        <v>219</v>
      </c>
      <c r="C13" s="339" t="s">
        <v>220</v>
      </c>
      <c r="D13" s="339" t="s">
        <v>197</v>
      </c>
      <c r="E13" s="339" t="s">
        <v>198</v>
      </c>
      <c r="F13" s="340">
        <f>25.707+17.558+19.423</f>
        <v>62.688</v>
      </c>
      <c r="G13" s="307"/>
      <c r="H13" s="307"/>
      <c r="I13" s="331">
        <f>SUM(G13:H13)*$I$4</f>
        <v>0</v>
      </c>
      <c r="J13" s="331">
        <f>SUM(G13:I13)*$J$4</f>
        <v>0</v>
      </c>
      <c r="K13" s="331">
        <f t="shared" si="0"/>
        <v>0</v>
      </c>
      <c r="L13" s="331">
        <f t="shared" si="1"/>
        <v>0</v>
      </c>
      <c r="M13" s="16" t="s">
        <v>218</v>
      </c>
      <c r="N13" s="346"/>
    </row>
    <row r="14" s="97" customFormat="1" ht="48" spans="1:14">
      <c r="A14" s="301">
        <v>11</v>
      </c>
      <c r="B14" s="339" t="s">
        <v>221</v>
      </c>
      <c r="C14" s="339" t="s">
        <v>222</v>
      </c>
      <c r="D14" s="339" t="s">
        <v>223</v>
      </c>
      <c r="E14" s="339" t="s">
        <v>178</v>
      </c>
      <c r="F14" s="340">
        <f>15.7*3*0.4</f>
        <v>18.84</v>
      </c>
      <c r="G14" s="307"/>
      <c r="H14" s="307"/>
      <c r="I14" s="331">
        <f>SUM(G14:H14)*$I$4</f>
        <v>0</v>
      </c>
      <c r="J14" s="331">
        <f>SUM(G14:I14)*$J$4</f>
        <v>0</v>
      </c>
      <c r="K14" s="331">
        <f t="shared" si="0"/>
        <v>0</v>
      </c>
      <c r="L14" s="331">
        <f t="shared" si="1"/>
        <v>0</v>
      </c>
      <c r="M14" s="307" t="s">
        <v>224</v>
      </c>
      <c r="N14" s="346"/>
    </row>
    <row r="15" s="336" customFormat="1" ht="43.05" customHeight="1" spans="1:14">
      <c r="A15" s="220" t="s">
        <v>225</v>
      </c>
      <c r="B15" s="221" t="s">
        <v>226</v>
      </c>
      <c r="C15" s="221"/>
      <c r="D15" s="222"/>
      <c r="E15" s="222"/>
      <c r="F15" s="222"/>
      <c r="G15" s="223"/>
      <c r="H15" s="224"/>
      <c r="I15" s="224"/>
      <c r="J15" s="224"/>
      <c r="K15" s="224"/>
      <c r="L15" s="231"/>
      <c r="M15" s="224"/>
      <c r="N15" s="346"/>
    </row>
    <row r="16" s="348" customFormat="1" ht="85.05" customHeight="1" spans="1:14">
      <c r="A16" s="301">
        <v>1</v>
      </c>
      <c r="B16" s="303" t="s">
        <v>227</v>
      </c>
      <c r="C16" s="303" t="s">
        <v>228</v>
      </c>
      <c r="D16" s="352" t="s">
        <v>229</v>
      </c>
      <c r="E16" s="305" t="s">
        <v>198</v>
      </c>
      <c r="F16" s="340">
        <f>611.436+811.57+961.95</f>
        <v>2384.956</v>
      </c>
      <c r="G16" s="307"/>
      <c r="H16" s="307"/>
      <c r="I16" s="331">
        <f>SUM(G16:H16)*$I$4</f>
        <v>0</v>
      </c>
      <c r="J16" s="331">
        <f>SUM(G16:I16)*$J$4</f>
        <v>0</v>
      </c>
      <c r="K16" s="331">
        <f t="shared" ref="K16:K24" si="2">SUM(G16:J16)</f>
        <v>0</v>
      </c>
      <c r="L16" s="331">
        <f t="shared" ref="L16:L24" si="3">F16*K16</f>
        <v>0</v>
      </c>
      <c r="M16" s="307" t="s">
        <v>230</v>
      </c>
      <c r="N16" s="346"/>
    </row>
    <row r="17" s="348" customFormat="1" ht="96" spans="1:14">
      <c r="A17" s="301">
        <v>2</v>
      </c>
      <c r="B17" s="303" t="s">
        <v>231</v>
      </c>
      <c r="C17" s="303" t="s">
        <v>232</v>
      </c>
      <c r="D17" s="345" t="s">
        <v>233</v>
      </c>
      <c r="E17" s="305" t="s">
        <v>198</v>
      </c>
      <c r="F17" s="340">
        <f>+F16+152+105.37+123.82+240.2</f>
        <v>3006.346</v>
      </c>
      <c r="G17" s="307"/>
      <c r="H17" s="307"/>
      <c r="I17" s="331">
        <f>SUM(G17:H17)*$I$4</f>
        <v>0</v>
      </c>
      <c r="J17" s="331">
        <f>SUM(G17:I17)*$J$4</f>
        <v>0</v>
      </c>
      <c r="K17" s="331">
        <f t="shared" si="2"/>
        <v>0</v>
      </c>
      <c r="L17" s="331">
        <f t="shared" si="3"/>
        <v>0</v>
      </c>
      <c r="M17" s="307" t="s">
        <v>234</v>
      </c>
      <c r="N17" s="346"/>
    </row>
    <row r="18" s="348" customFormat="1" ht="84" spans="1:14">
      <c r="A18" s="301">
        <v>4</v>
      </c>
      <c r="B18" s="303" t="s">
        <v>235</v>
      </c>
      <c r="C18" s="303" t="s">
        <v>236</v>
      </c>
      <c r="D18" s="352" t="s">
        <v>229</v>
      </c>
      <c r="E18" s="305" t="s">
        <v>198</v>
      </c>
      <c r="F18" s="340">
        <f>19.226+26.693+18.57</f>
        <v>64.489</v>
      </c>
      <c r="G18" s="307"/>
      <c r="H18" s="307"/>
      <c r="I18" s="331">
        <f>SUM(G18:H18)*$I$4</f>
        <v>0</v>
      </c>
      <c r="J18" s="331">
        <f>SUM(G18:I18)*$J$4</f>
        <v>0</v>
      </c>
      <c r="K18" s="331">
        <f t="shared" si="2"/>
        <v>0</v>
      </c>
      <c r="L18" s="331">
        <f t="shared" si="3"/>
        <v>0</v>
      </c>
      <c r="M18" s="307" t="s">
        <v>230</v>
      </c>
      <c r="N18" s="346"/>
    </row>
    <row r="19" s="348" customFormat="1" ht="108" spans="1:14">
      <c r="A19" s="301">
        <v>5</v>
      </c>
      <c r="B19" s="353" t="s">
        <v>237</v>
      </c>
      <c r="C19" s="354" t="s">
        <v>238</v>
      </c>
      <c r="D19" s="345" t="s">
        <v>233</v>
      </c>
      <c r="E19" s="355" t="s">
        <v>211</v>
      </c>
      <c r="F19" s="340">
        <f>+F18+4.87+3.87+5.99</f>
        <v>79.219</v>
      </c>
      <c r="G19" s="307"/>
      <c r="H19" s="307"/>
      <c r="I19" s="331">
        <f>SUM(G19:H19)*$I$4</f>
        <v>0</v>
      </c>
      <c r="J19" s="331">
        <f>SUM(G19:I19)*$J$4</f>
        <v>0</v>
      </c>
      <c r="K19" s="331">
        <f t="shared" si="2"/>
        <v>0</v>
      </c>
      <c r="L19" s="331">
        <f t="shared" si="3"/>
        <v>0</v>
      </c>
      <c r="M19" s="307" t="s">
        <v>230</v>
      </c>
      <c r="N19" s="346"/>
    </row>
    <row r="20" s="348" customFormat="1" ht="144" spans="1:14">
      <c r="A20" s="301">
        <v>6</v>
      </c>
      <c r="B20" s="356" t="s">
        <v>239</v>
      </c>
      <c r="C20" s="357" t="s">
        <v>240</v>
      </c>
      <c r="D20" s="358" t="s">
        <v>233</v>
      </c>
      <c r="E20" s="359" t="s">
        <v>211</v>
      </c>
      <c r="F20" s="340">
        <f>212.454+223.892+368.462+247.109</f>
        <v>1051.917</v>
      </c>
      <c r="G20" s="307"/>
      <c r="H20" s="307"/>
      <c r="I20" s="331">
        <f>SUM(G20:H20)*$I$4</f>
        <v>0</v>
      </c>
      <c r="J20" s="331">
        <f>SUM(G20:I20)*$J$4</f>
        <v>0</v>
      </c>
      <c r="K20" s="331">
        <f t="shared" si="2"/>
        <v>0</v>
      </c>
      <c r="L20" s="331">
        <f t="shared" si="3"/>
        <v>0</v>
      </c>
      <c r="M20" s="307" t="s">
        <v>234</v>
      </c>
      <c r="N20" s="346"/>
    </row>
    <row r="21" s="348" customFormat="1" ht="72" spans="1:14">
      <c r="A21" s="301">
        <v>9</v>
      </c>
      <c r="B21" s="345" t="s">
        <v>241</v>
      </c>
      <c r="C21" s="345" t="s">
        <v>242</v>
      </c>
      <c r="D21" s="345" t="s">
        <v>197</v>
      </c>
      <c r="E21" s="305" t="s">
        <v>198</v>
      </c>
      <c r="F21" s="340">
        <f>888.41+588.971</f>
        <v>1477.381</v>
      </c>
      <c r="G21" s="307"/>
      <c r="H21" s="307"/>
      <c r="I21" s="331">
        <f>SUM(G21:H21)*$I$4</f>
        <v>0</v>
      </c>
      <c r="J21" s="331">
        <f>SUM(G21:I21)*$J$4</f>
        <v>0</v>
      </c>
      <c r="K21" s="331">
        <f t="shared" si="2"/>
        <v>0</v>
      </c>
      <c r="L21" s="331">
        <f t="shared" si="3"/>
        <v>0</v>
      </c>
      <c r="M21" s="307" t="s">
        <v>243</v>
      </c>
      <c r="N21" s="346"/>
    </row>
    <row r="22" s="348" customFormat="1" ht="72" spans="1:14">
      <c r="A22" s="301">
        <v>8</v>
      </c>
      <c r="B22" s="303" t="s">
        <v>244</v>
      </c>
      <c r="C22" s="303" t="s">
        <v>245</v>
      </c>
      <c r="D22" s="352" t="s">
        <v>229</v>
      </c>
      <c r="E22" s="305" t="s">
        <v>198</v>
      </c>
      <c r="F22" s="340">
        <v>745.686</v>
      </c>
      <c r="G22" s="307"/>
      <c r="H22" s="307"/>
      <c r="I22" s="331">
        <f>SUM(G22:H22)*$I$4</f>
        <v>0</v>
      </c>
      <c r="J22" s="331">
        <f>SUM(G22:I22)*$J$4</f>
        <v>0</v>
      </c>
      <c r="K22" s="331">
        <f t="shared" si="2"/>
        <v>0</v>
      </c>
      <c r="L22" s="331">
        <f t="shared" si="3"/>
        <v>0</v>
      </c>
      <c r="M22" s="307" t="s">
        <v>246</v>
      </c>
      <c r="N22" s="346"/>
    </row>
    <row r="23" s="348" customFormat="1" ht="72" spans="1:14">
      <c r="A23" s="301">
        <v>11</v>
      </c>
      <c r="B23" s="353" t="s">
        <v>247</v>
      </c>
      <c r="C23" s="360" t="s">
        <v>248</v>
      </c>
      <c r="D23" s="361" t="s">
        <v>249</v>
      </c>
      <c r="E23" s="355" t="s">
        <v>175</v>
      </c>
      <c r="F23" s="340">
        <v>32.56</v>
      </c>
      <c r="G23" s="307"/>
      <c r="H23" s="307"/>
      <c r="I23" s="331">
        <f>SUM(G23:H23)*$I$4</f>
        <v>0</v>
      </c>
      <c r="J23" s="331">
        <f>SUM(G23:I23)*$J$4</f>
        <v>0</v>
      </c>
      <c r="K23" s="331">
        <f t="shared" si="2"/>
        <v>0</v>
      </c>
      <c r="L23" s="331">
        <f t="shared" si="3"/>
        <v>0</v>
      </c>
      <c r="M23" s="307" t="s">
        <v>250</v>
      </c>
      <c r="N23" s="346"/>
    </row>
    <row r="24" s="348" customFormat="1" ht="60" spans="1:14">
      <c r="A24" s="301">
        <v>12</v>
      </c>
      <c r="B24" s="353" t="s">
        <v>251</v>
      </c>
      <c r="C24" s="362" t="s">
        <v>252</v>
      </c>
      <c r="D24" s="361" t="s">
        <v>249</v>
      </c>
      <c r="E24" s="355" t="s">
        <v>175</v>
      </c>
      <c r="F24" s="340">
        <f>24.34+19.34+29.93+532.32</f>
        <v>605.93</v>
      </c>
      <c r="G24" s="307"/>
      <c r="H24" s="307"/>
      <c r="I24" s="331">
        <f>SUM(G24:H24)*$I$4</f>
        <v>0</v>
      </c>
      <c r="J24" s="331">
        <f>SUM(G24:I24)*$J$4</f>
        <v>0</v>
      </c>
      <c r="K24" s="331">
        <f t="shared" si="2"/>
        <v>0</v>
      </c>
      <c r="L24" s="331">
        <f t="shared" si="3"/>
        <v>0</v>
      </c>
      <c r="M24" s="307" t="s">
        <v>253</v>
      </c>
      <c r="N24" s="346"/>
    </row>
    <row r="25" s="336" customFormat="1" ht="43.05" customHeight="1" spans="1:14">
      <c r="A25" s="220" t="s">
        <v>254</v>
      </c>
      <c r="B25" s="221" t="s">
        <v>255</v>
      </c>
      <c r="C25" s="221"/>
      <c r="D25" s="222"/>
      <c r="E25" s="222"/>
      <c r="F25" s="222"/>
      <c r="G25" s="223"/>
      <c r="H25" s="224"/>
      <c r="I25" s="224"/>
      <c r="J25" s="224"/>
      <c r="K25" s="224"/>
      <c r="L25" s="231"/>
      <c r="M25" s="224"/>
      <c r="N25" s="346"/>
    </row>
    <row r="26" s="348" customFormat="1" ht="84" spans="1:14">
      <c r="A26" s="301">
        <v>1</v>
      </c>
      <c r="B26" s="363" t="s">
        <v>256</v>
      </c>
      <c r="C26" s="364" t="s">
        <v>257</v>
      </c>
      <c r="D26" s="304" t="s">
        <v>197</v>
      </c>
      <c r="E26" s="305" t="s">
        <v>198</v>
      </c>
      <c r="F26" s="307">
        <f>933.159+653.403+613.258</f>
        <v>2199.82</v>
      </c>
      <c r="G26" s="307"/>
      <c r="H26" s="307"/>
      <c r="I26" s="331">
        <f>SUM(G26:H26)*$I$4</f>
        <v>0</v>
      </c>
      <c r="J26" s="331">
        <f>SUM(G26:I26)*$J$4</f>
        <v>0</v>
      </c>
      <c r="K26" s="331">
        <f t="shared" ref="K26:K36" si="4">SUM(G26:J26)</f>
        <v>0</v>
      </c>
      <c r="L26" s="331">
        <f t="shared" ref="L26:L36" si="5">F26*K26</f>
        <v>0</v>
      </c>
      <c r="M26" s="307" t="s">
        <v>258</v>
      </c>
      <c r="N26" s="346"/>
    </row>
    <row r="27" s="348" customFormat="1" ht="120" spans="1:14">
      <c r="A27" s="301">
        <v>2</v>
      </c>
      <c r="B27" s="363" t="s">
        <v>259</v>
      </c>
      <c r="C27" s="339" t="s">
        <v>260</v>
      </c>
      <c r="D27" s="304" t="s">
        <v>197</v>
      </c>
      <c r="E27" s="305" t="s">
        <v>198</v>
      </c>
      <c r="F27" s="307">
        <f>6964.02-31*0.8*4.2</f>
        <v>6859.86</v>
      </c>
      <c r="G27" s="307"/>
      <c r="H27" s="307"/>
      <c r="I27" s="331">
        <f>SUM(G27:H27)*$I$4</f>
        <v>0</v>
      </c>
      <c r="J27" s="331">
        <f>SUM(G27:I27)*$J$4</f>
        <v>0</v>
      </c>
      <c r="K27" s="331">
        <f t="shared" si="4"/>
        <v>0</v>
      </c>
      <c r="L27" s="331">
        <f t="shared" si="5"/>
        <v>0</v>
      </c>
      <c r="M27" s="16" t="s">
        <v>261</v>
      </c>
      <c r="N27" s="346"/>
    </row>
    <row r="28" s="349" customFormat="1" ht="108" spans="1:14">
      <c r="A28" s="301">
        <v>3</v>
      </c>
      <c r="B28" s="365" t="s">
        <v>262</v>
      </c>
      <c r="C28" s="366" t="s">
        <v>263</v>
      </c>
      <c r="D28" s="358" t="s">
        <v>264</v>
      </c>
      <c r="E28" s="367" t="s">
        <v>265</v>
      </c>
      <c r="F28" s="307">
        <f>16+11+15</f>
        <v>42</v>
      </c>
      <c r="G28" s="307"/>
      <c r="H28" s="307"/>
      <c r="I28" s="331">
        <f>SUM(G28:H28)*$I$4</f>
        <v>0</v>
      </c>
      <c r="J28" s="331">
        <f>SUM(G28:I28)*$J$4</f>
        <v>0</v>
      </c>
      <c r="K28" s="331">
        <f t="shared" si="4"/>
        <v>0</v>
      </c>
      <c r="L28" s="331">
        <f t="shared" si="5"/>
        <v>0</v>
      </c>
      <c r="M28" s="16" t="s">
        <v>266</v>
      </c>
      <c r="N28" s="346"/>
    </row>
    <row r="29" s="349" customFormat="1" ht="65.4" customHeight="1" spans="1:14">
      <c r="A29" s="301">
        <v>6</v>
      </c>
      <c r="B29" s="368" t="s">
        <v>267</v>
      </c>
      <c r="C29" s="369" t="s">
        <v>268</v>
      </c>
      <c r="D29" s="370" t="s">
        <v>269</v>
      </c>
      <c r="E29" s="371" t="s">
        <v>211</v>
      </c>
      <c r="F29" s="307">
        <v>84.36</v>
      </c>
      <c r="G29" s="307"/>
      <c r="H29" s="307"/>
      <c r="I29" s="331">
        <f>SUM(G29:H29)*$I$4</f>
        <v>0</v>
      </c>
      <c r="J29" s="331">
        <f>SUM(G29:I29)*$J$4</f>
        <v>0</v>
      </c>
      <c r="K29" s="331">
        <f t="shared" si="4"/>
        <v>0</v>
      </c>
      <c r="L29" s="331">
        <f t="shared" si="5"/>
        <v>0</v>
      </c>
      <c r="M29" s="16" t="s">
        <v>270</v>
      </c>
      <c r="N29" s="346"/>
    </row>
    <row r="30" s="348" customFormat="1" ht="60" spans="1:14">
      <c r="A30" s="301">
        <v>8</v>
      </c>
      <c r="B30" s="273" t="s">
        <v>271</v>
      </c>
      <c r="C30" s="274" t="s">
        <v>272</v>
      </c>
      <c r="D30" s="275" t="s">
        <v>273</v>
      </c>
      <c r="E30" s="276" t="s">
        <v>175</v>
      </c>
      <c r="F30" s="307">
        <v>307.09</v>
      </c>
      <c r="G30" s="307"/>
      <c r="H30" s="307"/>
      <c r="I30" s="331">
        <f>SUM(G30:H30)*$I$4</f>
        <v>0</v>
      </c>
      <c r="J30" s="331">
        <f>SUM(G30:I30)*$J$4</f>
        <v>0</v>
      </c>
      <c r="K30" s="331">
        <f t="shared" si="4"/>
        <v>0</v>
      </c>
      <c r="L30" s="331">
        <f t="shared" si="5"/>
        <v>0</v>
      </c>
      <c r="M30" s="307" t="s">
        <v>274</v>
      </c>
      <c r="N30" s="346"/>
    </row>
    <row r="31" s="348" customFormat="1" ht="156" spans="1:14">
      <c r="A31" s="301">
        <v>9</v>
      </c>
      <c r="B31" s="372" t="s">
        <v>275</v>
      </c>
      <c r="C31" s="373" t="s">
        <v>276</v>
      </c>
      <c r="D31" s="304" t="s">
        <v>197</v>
      </c>
      <c r="E31" s="305" t="s">
        <v>198</v>
      </c>
      <c r="F31" s="307">
        <f>31*0.8*4.2</f>
        <v>104.16</v>
      </c>
      <c r="G31" s="307"/>
      <c r="H31" s="307"/>
      <c r="I31" s="331">
        <f>SUM(G31:H31)*$I$4</f>
        <v>0</v>
      </c>
      <c r="J31" s="331">
        <f>SUM(G31:I31)*$J$4</f>
        <v>0</v>
      </c>
      <c r="K31" s="331">
        <f t="shared" si="4"/>
        <v>0</v>
      </c>
      <c r="L31" s="331">
        <f t="shared" si="5"/>
        <v>0</v>
      </c>
      <c r="M31" s="307" t="s">
        <v>277</v>
      </c>
      <c r="N31" s="346"/>
    </row>
    <row r="32" s="348" customFormat="1" ht="144" spans="1:14">
      <c r="A32" s="301">
        <v>10</v>
      </c>
      <c r="B32" s="273" t="s">
        <v>278</v>
      </c>
      <c r="C32" s="274" t="s">
        <v>279</v>
      </c>
      <c r="D32" s="304" t="s">
        <v>197</v>
      </c>
      <c r="E32" s="305" t="s">
        <v>198</v>
      </c>
      <c r="F32" s="374">
        <v>65.32</v>
      </c>
      <c r="G32" s="307"/>
      <c r="H32" s="307"/>
      <c r="I32" s="331">
        <f>SUM(G32:H32)*$I$4</f>
        <v>0</v>
      </c>
      <c r="J32" s="331">
        <f>SUM(G32:I32)*$J$4</f>
        <v>0</v>
      </c>
      <c r="K32" s="331">
        <f t="shared" si="4"/>
        <v>0</v>
      </c>
      <c r="L32" s="331">
        <f t="shared" si="5"/>
        <v>0</v>
      </c>
      <c r="M32" s="307" t="s">
        <v>280</v>
      </c>
      <c r="N32" s="346"/>
    </row>
    <row r="33" s="348" customFormat="1" ht="144" spans="1:14">
      <c r="A33" s="301">
        <v>11</v>
      </c>
      <c r="B33" s="273" t="s">
        <v>281</v>
      </c>
      <c r="C33" s="375" t="s">
        <v>282</v>
      </c>
      <c r="D33" s="304" t="s">
        <v>197</v>
      </c>
      <c r="E33" s="305" t="s">
        <v>198</v>
      </c>
      <c r="F33" s="307">
        <v>4.05</v>
      </c>
      <c r="G33" s="307"/>
      <c r="H33" s="307"/>
      <c r="I33" s="331">
        <f>SUM(G33:H33)*$I$4</f>
        <v>0</v>
      </c>
      <c r="J33" s="331">
        <f>SUM(G33:I33)*$J$4</f>
        <v>0</v>
      </c>
      <c r="K33" s="331">
        <f t="shared" si="4"/>
        <v>0</v>
      </c>
      <c r="L33" s="331">
        <f t="shared" si="5"/>
        <v>0</v>
      </c>
      <c r="M33" s="307" t="s">
        <v>283</v>
      </c>
      <c r="N33" s="346"/>
    </row>
    <row r="34" s="349" customFormat="1" ht="84" spans="1:14">
      <c r="A34" s="301">
        <v>12</v>
      </c>
      <c r="B34" s="273" t="s">
        <v>284</v>
      </c>
      <c r="C34" s="375" t="s">
        <v>285</v>
      </c>
      <c r="D34" s="304" t="s">
        <v>197</v>
      </c>
      <c r="E34" s="305" t="s">
        <v>198</v>
      </c>
      <c r="F34" s="307">
        <f>147.84*3+608.579+367.67</f>
        <v>1419.769</v>
      </c>
      <c r="G34" s="307"/>
      <c r="H34" s="307"/>
      <c r="I34" s="331">
        <f>SUM(G34:H34)*$I$4</f>
        <v>0</v>
      </c>
      <c r="J34" s="331">
        <f>SUM(G34:I34)*$J$4</f>
        <v>0</v>
      </c>
      <c r="K34" s="331">
        <f t="shared" si="4"/>
        <v>0</v>
      </c>
      <c r="L34" s="331">
        <f t="shared" si="5"/>
        <v>0</v>
      </c>
      <c r="M34" s="307" t="s">
        <v>286</v>
      </c>
      <c r="N34" s="346"/>
    </row>
    <row r="35" s="349" customFormat="1" ht="84" spans="1:14">
      <c r="A35" s="301">
        <v>13</v>
      </c>
      <c r="B35" s="273" t="s">
        <v>287</v>
      </c>
      <c r="C35" s="375" t="s">
        <v>288</v>
      </c>
      <c r="D35" s="304" t="s">
        <v>197</v>
      </c>
      <c r="E35" s="305" t="s">
        <v>198</v>
      </c>
      <c r="F35" s="307">
        <v>303.636</v>
      </c>
      <c r="G35" s="307"/>
      <c r="H35" s="307"/>
      <c r="I35" s="331">
        <f>SUM(G35:H35)*$I$4</f>
        <v>0</v>
      </c>
      <c r="J35" s="331">
        <f>SUM(G35:I35)*$J$4</f>
        <v>0</v>
      </c>
      <c r="K35" s="331">
        <f t="shared" si="4"/>
        <v>0</v>
      </c>
      <c r="L35" s="331">
        <f t="shared" si="5"/>
        <v>0</v>
      </c>
      <c r="M35" s="307" t="s">
        <v>289</v>
      </c>
      <c r="N35" s="378"/>
    </row>
    <row r="36" s="3" customFormat="1" ht="36" spans="1:14">
      <c r="A36" s="24">
        <v>20</v>
      </c>
      <c r="B36" s="337" t="s">
        <v>290</v>
      </c>
      <c r="C36" s="187" t="s">
        <v>291</v>
      </c>
      <c r="D36" s="272" t="s">
        <v>292</v>
      </c>
      <c r="E36" s="338" t="s">
        <v>138</v>
      </c>
      <c r="F36" s="119">
        <f>4*3</f>
        <v>12</v>
      </c>
      <c r="G36" s="29"/>
      <c r="H36" s="29"/>
      <c r="I36" s="42">
        <f>SUM(G36:H36)*$I$4</f>
        <v>0</v>
      </c>
      <c r="J36" s="42">
        <f>SUM(G36:I36)*$J$4</f>
        <v>0</v>
      </c>
      <c r="K36" s="42">
        <f t="shared" si="4"/>
        <v>0</v>
      </c>
      <c r="L36" s="42">
        <f t="shared" si="5"/>
        <v>0</v>
      </c>
      <c r="M36" s="29"/>
      <c r="N36" s="346"/>
    </row>
    <row r="37" s="334" customFormat="1" ht="43.05" customHeight="1" spans="1:14">
      <c r="A37" s="223" t="s">
        <v>293</v>
      </c>
      <c r="B37" s="221" t="s">
        <v>294</v>
      </c>
      <c r="C37" s="221"/>
      <c r="D37" s="222"/>
      <c r="E37" s="222"/>
      <c r="F37" s="222"/>
      <c r="G37" s="223"/>
      <c r="H37" s="224"/>
      <c r="I37" s="224"/>
      <c r="J37" s="224"/>
      <c r="K37" s="224"/>
      <c r="L37" s="231"/>
      <c r="M37" s="224"/>
      <c r="N37" s="346"/>
    </row>
    <row r="38" s="3" customFormat="1" ht="25.95" customHeight="1" spans="1:14">
      <c r="A38" s="24">
        <v>2</v>
      </c>
      <c r="B38" s="27" t="s">
        <v>295</v>
      </c>
      <c r="C38" s="27" t="s">
        <v>296</v>
      </c>
      <c r="D38" s="27" t="s">
        <v>297</v>
      </c>
      <c r="E38" s="66" t="s">
        <v>198</v>
      </c>
      <c r="F38" s="29">
        <v>8430.76</v>
      </c>
      <c r="G38" s="29"/>
      <c r="H38" s="29"/>
      <c r="I38" s="42">
        <f>SUM(G38:H38)*$I$4</f>
        <v>0</v>
      </c>
      <c r="J38" s="42">
        <f>SUM(G38:I38)*$J$4</f>
        <v>0</v>
      </c>
      <c r="K38" s="42">
        <f>SUM(G38:J38)</f>
        <v>0</v>
      </c>
      <c r="L38" s="42">
        <f>F38*K38</f>
        <v>0</v>
      </c>
      <c r="M38" s="29" t="s">
        <v>298</v>
      </c>
      <c r="N38" s="346"/>
    </row>
    <row r="39" s="3" customFormat="1" ht="25.95" customHeight="1" spans="1:14">
      <c r="A39" s="24">
        <v>3</v>
      </c>
      <c r="B39" s="27" t="s">
        <v>299</v>
      </c>
      <c r="C39" s="27" t="s">
        <v>300</v>
      </c>
      <c r="D39" s="27" t="s">
        <v>297</v>
      </c>
      <c r="E39" s="66" t="s">
        <v>198</v>
      </c>
      <c r="F39" s="29">
        <f>+F38</f>
        <v>8430.76</v>
      </c>
      <c r="G39" s="29"/>
      <c r="H39" s="29"/>
      <c r="I39" s="42">
        <f>SUM(G39:H39)*$I$4</f>
        <v>0</v>
      </c>
      <c r="J39" s="42">
        <f>SUM(G39:I39)*$J$4</f>
        <v>0</v>
      </c>
      <c r="K39" s="42">
        <f>SUM(G39:J39)</f>
        <v>0</v>
      </c>
      <c r="L39" s="42">
        <f>F39*K39</f>
        <v>0</v>
      </c>
      <c r="M39" s="29" t="s">
        <v>301</v>
      </c>
      <c r="N39" s="346"/>
    </row>
    <row r="40" s="3" customFormat="1" ht="25.95" customHeight="1" spans="1:14">
      <c r="A40" s="24">
        <v>4</v>
      </c>
      <c r="B40" s="27" t="s">
        <v>302</v>
      </c>
      <c r="C40" s="27" t="s">
        <v>302</v>
      </c>
      <c r="D40" s="27" t="s">
        <v>297</v>
      </c>
      <c r="E40" s="66" t="s">
        <v>198</v>
      </c>
      <c r="F40" s="29">
        <f>+F39</f>
        <v>8430.76</v>
      </c>
      <c r="G40" s="29"/>
      <c r="H40" s="29"/>
      <c r="I40" s="42">
        <f>SUM(G40:H40)*$I$4</f>
        <v>0</v>
      </c>
      <c r="J40" s="42">
        <f>SUM(G40:I40)*$J$4</f>
        <v>0</v>
      </c>
      <c r="K40" s="42">
        <f>SUM(G40:J40)</f>
        <v>0</v>
      </c>
      <c r="L40" s="42">
        <f>F40*K40</f>
        <v>0</v>
      </c>
      <c r="M40" s="29" t="s">
        <v>303</v>
      </c>
      <c r="N40" s="346"/>
    </row>
    <row r="41" ht="24.9" customHeight="1" spans="1:14">
      <c r="A41" s="24"/>
      <c r="B41" s="152" t="s">
        <v>63</v>
      </c>
      <c r="C41" s="152"/>
      <c r="D41" s="104"/>
      <c r="E41" s="104"/>
      <c r="F41" s="104"/>
      <c r="G41" s="66"/>
      <c r="H41" s="105"/>
      <c r="I41" s="105"/>
      <c r="J41" s="105"/>
      <c r="K41" s="105"/>
      <c r="L41" s="161">
        <f>SUM(L1:L40)</f>
        <v>0</v>
      </c>
      <c r="M41" s="105"/>
      <c r="N41" s="346"/>
    </row>
    <row r="42" ht="20.1" customHeight="1" spans="1:7">
      <c r="A42" s="83"/>
      <c r="B42" s="83"/>
      <c r="C42" s="83"/>
      <c r="D42" s="83"/>
      <c r="E42" s="83"/>
      <c r="F42" s="83"/>
      <c r="G42" s="83"/>
    </row>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sheetData>
  <protectedRanges>
    <protectedRange sqref="B14" name="区域2_1_1_3_2_1"/>
  </protectedRanges>
  <autoFilter ref="A2:N61">
    <extLst/>
  </autoFilter>
  <mergeCells count="18">
    <mergeCell ref="A1:M1"/>
    <mergeCell ref="G2:J2"/>
    <mergeCell ref="B5:C5"/>
    <mergeCell ref="B15:C15"/>
    <mergeCell ref="B25:C25"/>
    <mergeCell ref="B37:C37"/>
    <mergeCell ref="B41:C41"/>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60"/>
  <sheetViews>
    <sheetView tabSelected="1" view="pageBreakPreview" zoomScaleNormal="100" workbookViewId="0">
      <pane ySplit="4" topLeftCell="A36" activePane="bottomLeft" state="frozen"/>
      <selection/>
      <selection pane="bottomLeft" activeCell="H38" sqref="H38"/>
    </sheetView>
  </sheetViews>
  <sheetFormatPr defaultColWidth="9" defaultRowHeight="14"/>
  <cols>
    <col min="1" max="1" width="5.66363636363636" style="47" customWidth="1"/>
    <col min="2" max="2" width="15.6636363636364" style="47" customWidth="1"/>
    <col min="3" max="3" width="23.6636363636364"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99" t="e">
        <f>#REF!</f>
        <v>#REF!</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s="334" customFormat="1" ht="43.05" customHeight="1" spans="1:13">
      <c r="A5" s="220" t="s">
        <v>193</v>
      </c>
      <c r="B5" s="221" t="s">
        <v>194</v>
      </c>
      <c r="C5" s="221"/>
      <c r="D5" s="222"/>
      <c r="E5" s="222"/>
      <c r="F5" s="222"/>
      <c r="G5" s="223"/>
      <c r="H5" s="224"/>
      <c r="I5" s="224"/>
      <c r="J5" s="224"/>
      <c r="K5" s="224"/>
      <c r="L5" s="231"/>
      <c r="M5" s="224"/>
    </row>
    <row r="6" s="97" customFormat="1" ht="120" spans="1:14">
      <c r="A6" s="24">
        <v>1</v>
      </c>
      <c r="B6" s="63" t="s">
        <v>195</v>
      </c>
      <c r="C6" s="63" t="s">
        <v>304</v>
      </c>
      <c r="D6" s="76" t="s">
        <v>197</v>
      </c>
      <c r="E6" s="225" t="s">
        <v>198</v>
      </c>
      <c r="F6" s="106">
        <f>4204.25+164.28+2854.94-1163.427</f>
        <v>6060.043</v>
      </c>
      <c r="G6" s="29"/>
      <c r="H6" s="29"/>
      <c r="I6" s="42">
        <f>SUM(G6:H6)*$I$4</f>
        <v>0</v>
      </c>
      <c r="J6" s="42">
        <f>SUM(G6:I6)*$J$4</f>
        <v>0</v>
      </c>
      <c r="K6" s="42">
        <f t="shared" ref="K6:K11" si="0">SUM(G6:J6)</f>
        <v>0</v>
      </c>
      <c r="L6" s="42">
        <f t="shared" ref="L6:L11" si="1">F6*K6</f>
        <v>0</v>
      </c>
      <c r="M6" s="29" t="s">
        <v>199</v>
      </c>
      <c r="N6" s="346"/>
    </row>
    <row r="7" s="97" customFormat="1" ht="120" spans="1:14">
      <c r="A7" s="24">
        <v>2</v>
      </c>
      <c r="B7" s="63" t="s">
        <v>305</v>
      </c>
      <c r="C7" s="63" t="s">
        <v>306</v>
      </c>
      <c r="D7" s="76" t="s">
        <v>197</v>
      </c>
      <c r="E7" s="225" t="s">
        <v>198</v>
      </c>
      <c r="F7" s="106">
        <v>1163.427</v>
      </c>
      <c r="G7" s="29"/>
      <c r="H7" s="29"/>
      <c r="I7" s="42">
        <f>SUM(G7:H7)*$I$4</f>
        <v>0</v>
      </c>
      <c r="J7" s="42">
        <f>SUM(G7:I7)*$J$4</f>
        <v>0</v>
      </c>
      <c r="K7" s="42">
        <f t="shared" si="0"/>
        <v>0</v>
      </c>
      <c r="L7" s="42">
        <f t="shared" si="1"/>
        <v>0</v>
      </c>
      <c r="M7" s="29" t="s">
        <v>199</v>
      </c>
      <c r="N7" s="346"/>
    </row>
    <row r="8" s="97" customFormat="1" ht="120" spans="1:14">
      <c r="A8" s="24">
        <v>3</v>
      </c>
      <c r="B8" s="63" t="s">
        <v>195</v>
      </c>
      <c r="C8" s="63" t="s">
        <v>200</v>
      </c>
      <c r="D8" s="76" t="s">
        <v>197</v>
      </c>
      <c r="E8" s="225" t="s">
        <v>198</v>
      </c>
      <c r="F8" s="64">
        <f>6.47*3</f>
        <v>19.41</v>
      </c>
      <c r="G8" s="29"/>
      <c r="H8" s="29"/>
      <c r="I8" s="42">
        <f>SUM(G8:H8)*$I$4</f>
        <v>0</v>
      </c>
      <c r="J8" s="42">
        <f>SUM(G8:I8)*$J$4</f>
        <v>0</v>
      </c>
      <c r="K8" s="42">
        <f t="shared" si="0"/>
        <v>0</v>
      </c>
      <c r="L8" s="42">
        <f t="shared" si="1"/>
        <v>0</v>
      </c>
      <c r="M8" s="29" t="s">
        <v>199</v>
      </c>
      <c r="N8" s="346"/>
    </row>
    <row r="9" s="2" customFormat="1" ht="96" spans="1:14">
      <c r="A9" s="24">
        <v>5</v>
      </c>
      <c r="B9" s="63" t="s">
        <v>204</v>
      </c>
      <c r="C9" s="63" t="s">
        <v>205</v>
      </c>
      <c r="D9" s="76" t="s">
        <v>206</v>
      </c>
      <c r="E9" s="66" t="s">
        <v>175</v>
      </c>
      <c r="F9" s="106">
        <v>9.72</v>
      </c>
      <c r="G9" s="29"/>
      <c r="H9" s="29"/>
      <c r="I9" s="42">
        <f>SUM(G9:H9)*$I$4</f>
        <v>0</v>
      </c>
      <c r="J9" s="42">
        <f>SUM(G9:I9)*$J$4</f>
        <v>0</v>
      </c>
      <c r="K9" s="42">
        <f t="shared" si="0"/>
        <v>0</v>
      </c>
      <c r="L9" s="42">
        <f t="shared" si="1"/>
        <v>0</v>
      </c>
      <c r="M9" s="29" t="s">
        <v>207</v>
      </c>
      <c r="N9" s="346"/>
    </row>
    <row r="10" s="2" customFormat="1" ht="96" spans="1:14">
      <c r="A10" s="24">
        <v>6</v>
      </c>
      <c r="B10" s="63" t="s">
        <v>219</v>
      </c>
      <c r="C10" s="63" t="s">
        <v>307</v>
      </c>
      <c r="D10" s="63" t="s">
        <v>197</v>
      </c>
      <c r="E10" s="63" t="s">
        <v>198</v>
      </c>
      <c r="F10" s="106">
        <v>36.49</v>
      </c>
      <c r="G10" s="29"/>
      <c r="H10" s="29"/>
      <c r="I10" s="42">
        <f>SUM(G10:H10)*$I$4</f>
        <v>0</v>
      </c>
      <c r="J10" s="42">
        <f>SUM(G10:I10)*$J$4</f>
        <v>0</v>
      </c>
      <c r="K10" s="42">
        <f t="shared" si="0"/>
        <v>0</v>
      </c>
      <c r="L10" s="42">
        <f t="shared" si="1"/>
        <v>0</v>
      </c>
      <c r="M10" s="29" t="s">
        <v>218</v>
      </c>
      <c r="N10" s="346"/>
    </row>
    <row r="11" s="97" customFormat="1" ht="55.2" customHeight="1" spans="1:14">
      <c r="A11" s="301">
        <v>7</v>
      </c>
      <c r="B11" s="339" t="s">
        <v>221</v>
      </c>
      <c r="C11" s="339" t="s">
        <v>222</v>
      </c>
      <c r="D11" s="339" t="s">
        <v>223</v>
      </c>
      <c r="E11" s="339" t="s">
        <v>178</v>
      </c>
      <c r="F11" s="340">
        <f>14.52*3*0.4</f>
        <v>17.424</v>
      </c>
      <c r="G11" s="307"/>
      <c r="H11" s="307"/>
      <c r="I11" s="331">
        <f>SUM(G11:H11)*$I$4</f>
        <v>0</v>
      </c>
      <c r="J11" s="331">
        <f>SUM(G11:I11)*$J$4</f>
        <v>0</v>
      </c>
      <c r="K11" s="331">
        <f t="shared" si="0"/>
        <v>0</v>
      </c>
      <c r="L11" s="331">
        <f t="shared" si="1"/>
        <v>0</v>
      </c>
      <c r="M11" s="29" t="s">
        <v>224</v>
      </c>
      <c r="N11" s="347"/>
    </row>
    <row r="12" s="336" customFormat="1" ht="43.05" customHeight="1" spans="1:14">
      <c r="A12" s="220" t="s">
        <v>225</v>
      </c>
      <c r="B12" s="221" t="s">
        <v>226</v>
      </c>
      <c r="C12" s="221"/>
      <c r="D12" s="222"/>
      <c r="E12" s="222"/>
      <c r="F12" s="222"/>
      <c r="G12" s="223"/>
      <c r="H12" s="224"/>
      <c r="I12" s="224"/>
      <c r="J12" s="224"/>
      <c r="K12" s="224"/>
      <c r="L12" s="231"/>
      <c r="M12" s="224"/>
      <c r="N12" s="346"/>
    </row>
    <row r="13" s="2" customFormat="1" ht="85.05" customHeight="1" spans="1:14">
      <c r="A13" s="24">
        <v>1</v>
      </c>
      <c r="B13" s="70" t="s">
        <v>227</v>
      </c>
      <c r="C13" s="70" t="s">
        <v>228</v>
      </c>
      <c r="D13" s="189" t="s">
        <v>229</v>
      </c>
      <c r="E13" s="66" t="s">
        <v>198</v>
      </c>
      <c r="F13" s="106">
        <v>3451.23</v>
      </c>
      <c r="G13" s="29"/>
      <c r="H13" s="29"/>
      <c r="I13" s="42">
        <f>SUM(G13:H13)*$I$4</f>
        <v>0</v>
      </c>
      <c r="J13" s="42">
        <f>SUM(G13:I13)*$J$4</f>
        <v>0</v>
      </c>
      <c r="K13" s="42">
        <f t="shared" ref="K13:K24" si="2">SUM(G13:J13)</f>
        <v>0</v>
      </c>
      <c r="L13" s="42">
        <f t="shared" ref="L13:L24" si="3">F13*K13</f>
        <v>0</v>
      </c>
      <c r="M13" s="29" t="s">
        <v>230</v>
      </c>
      <c r="N13" s="346"/>
    </row>
    <row r="14" s="2" customFormat="1" ht="96" spans="1:14">
      <c r="A14" s="24">
        <v>2</v>
      </c>
      <c r="B14" s="70" t="s">
        <v>231</v>
      </c>
      <c r="C14" s="70" t="s">
        <v>232</v>
      </c>
      <c r="D14" s="167" t="s">
        <v>233</v>
      </c>
      <c r="E14" s="66" t="s">
        <v>198</v>
      </c>
      <c r="F14" s="106">
        <v>3644.14</v>
      </c>
      <c r="G14" s="29"/>
      <c r="H14" s="29"/>
      <c r="I14" s="42">
        <f>SUM(G14:H14)*$I$4</f>
        <v>0</v>
      </c>
      <c r="J14" s="42">
        <f>SUM(G14:I14)*$J$4</f>
        <v>0</v>
      </c>
      <c r="K14" s="42">
        <f t="shared" si="2"/>
        <v>0</v>
      </c>
      <c r="L14" s="42">
        <f t="shared" si="3"/>
        <v>0</v>
      </c>
      <c r="M14" s="29" t="s">
        <v>234</v>
      </c>
      <c r="N14" s="346"/>
    </row>
    <row r="15" s="2" customFormat="1" ht="34.95" customHeight="1" spans="1:14">
      <c r="A15" s="24">
        <v>3</v>
      </c>
      <c r="B15" s="341" t="s">
        <v>308</v>
      </c>
      <c r="C15" s="342" t="s">
        <v>309</v>
      </c>
      <c r="D15" s="343" t="s">
        <v>273</v>
      </c>
      <c r="E15" s="344" t="s">
        <v>175</v>
      </c>
      <c r="F15" s="106">
        <f>25.5+2.155*10</f>
        <v>47.05</v>
      </c>
      <c r="G15" s="29"/>
      <c r="H15" s="29"/>
      <c r="I15" s="42">
        <f>SUM(G15:H15)*$I$4</f>
        <v>0</v>
      </c>
      <c r="J15" s="42">
        <f>SUM(G15:I15)*$J$4</f>
        <v>0</v>
      </c>
      <c r="K15" s="42">
        <f t="shared" si="2"/>
        <v>0</v>
      </c>
      <c r="L15" s="42">
        <f t="shared" si="3"/>
        <v>0</v>
      </c>
      <c r="M15" s="29" t="s">
        <v>310</v>
      </c>
      <c r="N15" s="346"/>
    </row>
    <row r="16" s="2" customFormat="1" ht="84" spans="1:14">
      <c r="A16" s="24">
        <v>4</v>
      </c>
      <c r="B16" s="70" t="s">
        <v>235</v>
      </c>
      <c r="C16" s="70" t="s">
        <v>236</v>
      </c>
      <c r="D16" s="189" t="s">
        <v>229</v>
      </c>
      <c r="E16" s="66" t="s">
        <v>198</v>
      </c>
      <c r="F16" s="106">
        <v>74.75</v>
      </c>
      <c r="G16" s="29"/>
      <c r="H16" s="29"/>
      <c r="I16" s="42">
        <f>SUM(G16:H16)*$I$4</f>
        <v>0</v>
      </c>
      <c r="J16" s="42">
        <f>SUM(G16:I16)*$J$4</f>
        <v>0</v>
      </c>
      <c r="K16" s="42">
        <f t="shared" si="2"/>
        <v>0</v>
      </c>
      <c r="L16" s="42">
        <f t="shared" si="3"/>
        <v>0</v>
      </c>
      <c r="M16" s="29" t="s">
        <v>230</v>
      </c>
      <c r="N16" s="346"/>
    </row>
    <row r="17" s="2" customFormat="1" ht="108" spans="1:14">
      <c r="A17" s="24">
        <v>5</v>
      </c>
      <c r="B17" s="113" t="s">
        <v>237</v>
      </c>
      <c r="C17" s="114" t="s">
        <v>238</v>
      </c>
      <c r="D17" s="167" t="s">
        <v>233</v>
      </c>
      <c r="E17" s="116" t="s">
        <v>211</v>
      </c>
      <c r="F17" s="64">
        <v>98.55</v>
      </c>
      <c r="G17" s="29"/>
      <c r="H17" s="29"/>
      <c r="I17" s="42">
        <f>SUM(G17:H17)*$I$4</f>
        <v>0</v>
      </c>
      <c r="J17" s="42">
        <f>SUM(G17:I17)*$J$4</f>
        <v>0</v>
      </c>
      <c r="K17" s="42">
        <f t="shared" si="2"/>
        <v>0</v>
      </c>
      <c r="L17" s="42">
        <f t="shared" si="3"/>
        <v>0</v>
      </c>
      <c r="M17" s="29" t="s">
        <v>230</v>
      </c>
      <c r="N17" s="346"/>
    </row>
    <row r="18" s="2" customFormat="1" ht="132" spans="1:14">
      <c r="A18" s="24">
        <v>6</v>
      </c>
      <c r="B18" s="186" t="s">
        <v>239</v>
      </c>
      <c r="C18" s="187" t="s">
        <v>240</v>
      </c>
      <c r="D18" s="188" t="s">
        <v>233</v>
      </c>
      <c r="E18" s="127" t="s">
        <v>211</v>
      </c>
      <c r="F18" s="106">
        <f>752.46*1.15</f>
        <v>865.329</v>
      </c>
      <c r="G18" s="29"/>
      <c r="H18" s="29"/>
      <c r="I18" s="42">
        <f>SUM(G18:H18)*$I$4</f>
        <v>0</v>
      </c>
      <c r="J18" s="42">
        <f>SUM(G18:I18)*$J$4</f>
        <v>0</v>
      </c>
      <c r="K18" s="42">
        <f t="shared" si="2"/>
        <v>0</v>
      </c>
      <c r="L18" s="42">
        <f t="shared" si="3"/>
        <v>0</v>
      </c>
      <c r="M18" s="29" t="s">
        <v>234</v>
      </c>
      <c r="N18" s="346"/>
    </row>
    <row r="19" s="97" customFormat="1" ht="84" spans="1:14">
      <c r="A19" s="301">
        <v>7</v>
      </c>
      <c r="B19" s="345" t="s">
        <v>311</v>
      </c>
      <c r="C19" s="345" t="s">
        <v>312</v>
      </c>
      <c r="D19" s="345" t="s">
        <v>197</v>
      </c>
      <c r="E19" s="305" t="s">
        <v>198</v>
      </c>
      <c r="F19" s="306">
        <v>118.17</v>
      </c>
      <c r="G19" s="307"/>
      <c r="H19" s="307"/>
      <c r="I19" s="331">
        <f>SUM(G19:H19)*$I$4</f>
        <v>0</v>
      </c>
      <c r="J19" s="331">
        <f>SUM(G19:I19)*$J$4</f>
        <v>0</v>
      </c>
      <c r="K19" s="331">
        <f t="shared" si="2"/>
        <v>0</v>
      </c>
      <c r="L19" s="331">
        <f t="shared" si="3"/>
        <v>0</v>
      </c>
      <c r="M19" s="29" t="e">
        <v>#N/A</v>
      </c>
      <c r="N19" s="347"/>
    </row>
    <row r="20" s="2" customFormat="1" ht="72" spans="1:14">
      <c r="A20" s="24">
        <v>8</v>
      </c>
      <c r="B20" s="70" t="s">
        <v>313</v>
      </c>
      <c r="C20" s="70" t="s">
        <v>314</v>
      </c>
      <c r="D20" s="189" t="s">
        <v>229</v>
      </c>
      <c r="E20" s="66" t="s">
        <v>198</v>
      </c>
      <c r="F20" s="106">
        <f>2274.65+154.41</f>
        <v>2429.06</v>
      </c>
      <c r="G20" s="29"/>
      <c r="H20" s="29"/>
      <c r="I20" s="42">
        <f>SUM(G20:H20)*$I$4</f>
        <v>0</v>
      </c>
      <c r="J20" s="42">
        <f>SUM(G20:I20)*$J$4</f>
        <v>0</v>
      </c>
      <c r="K20" s="42">
        <f t="shared" si="2"/>
        <v>0</v>
      </c>
      <c r="L20" s="42">
        <f t="shared" si="3"/>
        <v>0</v>
      </c>
      <c r="M20" s="29" t="s">
        <v>315</v>
      </c>
      <c r="N20" s="346"/>
    </row>
    <row r="21" s="2" customFormat="1" ht="85.05" customHeight="1" spans="1:14">
      <c r="A21" s="24">
        <v>9</v>
      </c>
      <c r="B21" s="70" t="s">
        <v>316</v>
      </c>
      <c r="C21" s="70" t="s">
        <v>317</v>
      </c>
      <c r="D21" s="189" t="s">
        <v>229</v>
      </c>
      <c r="E21" s="66" t="s">
        <v>198</v>
      </c>
      <c r="F21" s="106">
        <v>37.31</v>
      </c>
      <c r="G21" s="29"/>
      <c r="H21" s="29"/>
      <c r="I21" s="42">
        <f>SUM(G21:H21)*$I$4</f>
        <v>0</v>
      </c>
      <c r="J21" s="42">
        <f>SUM(G21:I21)*$J$4</f>
        <v>0</v>
      </c>
      <c r="K21" s="42">
        <f t="shared" si="2"/>
        <v>0</v>
      </c>
      <c r="L21" s="42">
        <f t="shared" si="3"/>
        <v>0</v>
      </c>
      <c r="M21" s="29" t="s">
        <v>318</v>
      </c>
      <c r="N21" s="346"/>
    </row>
    <row r="22" s="2" customFormat="1" ht="51" customHeight="1" spans="1:14">
      <c r="A22" s="24">
        <v>10</v>
      </c>
      <c r="B22" s="70" t="s">
        <v>319</v>
      </c>
      <c r="C22" s="70" t="s">
        <v>320</v>
      </c>
      <c r="D22" s="167" t="s">
        <v>233</v>
      </c>
      <c r="E22" s="66" t="s">
        <v>198</v>
      </c>
      <c r="F22" s="106">
        <v>37.31</v>
      </c>
      <c r="G22" s="29"/>
      <c r="H22" s="29"/>
      <c r="I22" s="42">
        <f>SUM(G22:H22)*$I$4</f>
        <v>0</v>
      </c>
      <c r="J22" s="42">
        <f>SUM(G22:I22)*$J$4</f>
        <v>0</v>
      </c>
      <c r="K22" s="42">
        <f t="shared" si="2"/>
        <v>0</v>
      </c>
      <c r="L22" s="42">
        <f t="shared" si="3"/>
        <v>0</v>
      </c>
      <c r="M22" s="29" t="s">
        <v>321</v>
      </c>
      <c r="N22" s="346"/>
    </row>
    <row r="23" s="2" customFormat="1" ht="60" spans="1:14">
      <c r="A23" s="24">
        <v>11</v>
      </c>
      <c r="B23" s="113" t="s">
        <v>247</v>
      </c>
      <c r="C23" s="71" t="s">
        <v>248</v>
      </c>
      <c r="D23" s="196" t="s">
        <v>249</v>
      </c>
      <c r="E23" s="116" t="s">
        <v>175</v>
      </c>
      <c r="F23" s="106">
        <v>197.2</v>
      </c>
      <c r="G23" s="29"/>
      <c r="H23" s="29"/>
      <c r="I23" s="42">
        <f>SUM(G23:H23)*$I$4</f>
        <v>0</v>
      </c>
      <c r="J23" s="42">
        <f>SUM(G23:I23)*$J$4</f>
        <v>0</v>
      </c>
      <c r="K23" s="42">
        <f t="shared" si="2"/>
        <v>0</v>
      </c>
      <c r="L23" s="42">
        <f t="shared" si="3"/>
        <v>0</v>
      </c>
      <c r="M23" s="29" t="s">
        <v>250</v>
      </c>
      <c r="N23" s="346"/>
    </row>
    <row r="24" s="2" customFormat="1" ht="60" spans="1:14">
      <c r="A24" s="24">
        <v>12</v>
      </c>
      <c r="B24" s="113" t="s">
        <v>251</v>
      </c>
      <c r="C24" s="72" t="s">
        <v>252</v>
      </c>
      <c r="D24" s="196" t="s">
        <v>249</v>
      </c>
      <c r="E24" s="116" t="s">
        <v>175</v>
      </c>
      <c r="F24" s="106">
        <v>471.3</v>
      </c>
      <c r="G24" s="29"/>
      <c r="H24" s="29"/>
      <c r="I24" s="42">
        <f>SUM(G24:H24)*$I$4</f>
        <v>0</v>
      </c>
      <c r="J24" s="42">
        <f>SUM(G24:I24)*$J$4</f>
        <v>0</v>
      </c>
      <c r="K24" s="42">
        <f t="shared" si="2"/>
        <v>0</v>
      </c>
      <c r="L24" s="42">
        <f t="shared" si="3"/>
        <v>0</v>
      </c>
      <c r="M24" s="29" t="s">
        <v>253</v>
      </c>
      <c r="N24" s="346"/>
    </row>
    <row r="25" s="336" customFormat="1" ht="43.05" customHeight="1" spans="1:14">
      <c r="A25" s="220" t="s">
        <v>254</v>
      </c>
      <c r="B25" s="221" t="s">
        <v>255</v>
      </c>
      <c r="C25" s="221"/>
      <c r="D25" s="222"/>
      <c r="E25" s="222"/>
      <c r="F25" s="222"/>
      <c r="G25" s="223"/>
      <c r="H25" s="224"/>
      <c r="I25" s="224"/>
      <c r="J25" s="224"/>
      <c r="K25" s="224"/>
      <c r="L25" s="231"/>
      <c r="M25" s="224"/>
      <c r="N25" s="346"/>
    </row>
    <row r="26" s="2" customFormat="1" ht="84" spans="1:14">
      <c r="A26" s="24">
        <v>1</v>
      </c>
      <c r="B26" s="25" t="s">
        <v>256</v>
      </c>
      <c r="C26" s="118" t="s">
        <v>257</v>
      </c>
      <c r="D26" s="76" t="s">
        <v>197</v>
      </c>
      <c r="E26" s="66" t="s">
        <v>198</v>
      </c>
      <c r="F26" s="119">
        <v>6837.35</v>
      </c>
      <c r="G26" s="29"/>
      <c r="H26" s="29"/>
      <c r="I26" s="42">
        <f>SUM(G26:H26)*$I$4</f>
        <v>0</v>
      </c>
      <c r="J26" s="42">
        <f>SUM(G26:I26)*$J$4</f>
        <v>0</v>
      </c>
      <c r="K26" s="42">
        <f t="shared" ref="K26:K35" si="4">SUM(G26:J26)</f>
        <v>0</v>
      </c>
      <c r="L26" s="42">
        <f t="shared" ref="L26:L35" si="5">F26*K26</f>
        <v>0</v>
      </c>
      <c r="M26" s="29" t="s">
        <v>258</v>
      </c>
      <c r="N26" s="346"/>
    </row>
    <row r="27" s="2" customFormat="1" ht="120" spans="1:14">
      <c r="A27" s="24">
        <v>2</v>
      </c>
      <c r="B27" s="25" t="s">
        <v>259</v>
      </c>
      <c r="C27" s="63" t="s">
        <v>322</v>
      </c>
      <c r="D27" s="76" t="s">
        <v>197</v>
      </c>
      <c r="E27" s="66" t="s">
        <v>198</v>
      </c>
      <c r="F27" s="119">
        <f>1417.41+577.03-238.75</f>
        <v>1755.69</v>
      </c>
      <c r="G27" s="29"/>
      <c r="H27" s="29"/>
      <c r="I27" s="42">
        <f>SUM(G27:H27)*$I$4</f>
        <v>0</v>
      </c>
      <c r="J27" s="42">
        <f>SUM(G27:I27)*$J$4</f>
        <v>0</v>
      </c>
      <c r="K27" s="42">
        <f t="shared" si="4"/>
        <v>0</v>
      </c>
      <c r="L27" s="42">
        <f t="shared" si="5"/>
        <v>0</v>
      </c>
      <c r="M27" s="29" t="s">
        <v>261</v>
      </c>
      <c r="N27" s="346"/>
    </row>
    <row r="28" s="3" customFormat="1" ht="108" spans="1:14">
      <c r="A28" s="24">
        <v>3</v>
      </c>
      <c r="B28" s="308" t="s">
        <v>262</v>
      </c>
      <c r="C28" s="309" t="s">
        <v>263</v>
      </c>
      <c r="D28" s="188" t="s">
        <v>264</v>
      </c>
      <c r="E28" s="310" t="s">
        <v>265</v>
      </c>
      <c r="F28" s="119">
        <f>10+13+13</f>
        <v>36</v>
      </c>
      <c r="G28" s="29"/>
      <c r="H28" s="29"/>
      <c r="I28" s="42">
        <f>SUM(G28:H28)*$I$4</f>
        <v>0</v>
      </c>
      <c r="J28" s="42">
        <f>SUM(G28:I28)*$J$4</f>
        <v>0</v>
      </c>
      <c r="K28" s="42">
        <f t="shared" si="4"/>
        <v>0</v>
      </c>
      <c r="L28" s="42">
        <f t="shared" si="5"/>
        <v>0</v>
      </c>
      <c r="M28" s="29" t="s">
        <v>266</v>
      </c>
      <c r="N28" s="346"/>
    </row>
    <row r="29" s="3" customFormat="1" ht="48" spans="1:14">
      <c r="A29" s="24">
        <v>5</v>
      </c>
      <c r="B29" s="271" t="s">
        <v>267</v>
      </c>
      <c r="C29" s="272" t="s">
        <v>268</v>
      </c>
      <c r="D29" s="212" t="s">
        <v>269</v>
      </c>
      <c r="E29" s="213" t="s">
        <v>211</v>
      </c>
      <c r="F29" s="119">
        <v>25.53</v>
      </c>
      <c r="G29" s="29"/>
      <c r="H29" s="29"/>
      <c r="I29" s="42">
        <f>SUM(G29:H29)*$I$4</f>
        <v>0</v>
      </c>
      <c r="J29" s="42">
        <f>SUM(G29:I29)*$J$4</f>
        <v>0</v>
      </c>
      <c r="K29" s="42">
        <f t="shared" si="4"/>
        <v>0</v>
      </c>
      <c r="L29" s="42">
        <f t="shared" si="5"/>
        <v>0</v>
      </c>
      <c r="M29" s="29" t="s">
        <v>270</v>
      </c>
      <c r="N29" s="346"/>
    </row>
    <row r="30" s="2" customFormat="1" ht="60" spans="1:14">
      <c r="A30" s="24">
        <v>7</v>
      </c>
      <c r="B30" s="128" t="s">
        <v>271</v>
      </c>
      <c r="C30" s="129" t="s">
        <v>272</v>
      </c>
      <c r="D30" s="248" t="s">
        <v>273</v>
      </c>
      <c r="E30" s="131" t="s">
        <v>175</v>
      </c>
      <c r="F30" s="119">
        <f>337.94+508.8</f>
        <v>846.74</v>
      </c>
      <c r="G30" s="29"/>
      <c r="H30" s="29"/>
      <c r="I30" s="42">
        <f>SUM(G30:H30)*$I$4</f>
        <v>0</v>
      </c>
      <c r="J30" s="42">
        <f>SUM(G30:I30)*$J$4</f>
        <v>0</v>
      </c>
      <c r="K30" s="42">
        <f t="shared" si="4"/>
        <v>0</v>
      </c>
      <c r="L30" s="42">
        <f t="shared" si="5"/>
        <v>0</v>
      </c>
      <c r="M30" s="29" t="s">
        <v>274</v>
      </c>
      <c r="N30" s="346"/>
    </row>
    <row r="31" s="2" customFormat="1" ht="156" spans="1:14">
      <c r="A31" s="24">
        <v>8</v>
      </c>
      <c r="B31" s="25" t="s">
        <v>275</v>
      </c>
      <c r="C31" s="63" t="s">
        <v>323</v>
      </c>
      <c r="D31" s="76" t="s">
        <v>197</v>
      </c>
      <c r="E31" s="66" t="s">
        <v>198</v>
      </c>
      <c r="F31" s="119">
        <v>238.7</v>
      </c>
      <c r="G31" s="29"/>
      <c r="H31" s="29"/>
      <c r="I31" s="42">
        <f>SUM(G31:H31)*$I$4</f>
        <v>0</v>
      </c>
      <c r="J31" s="42">
        <f>SUM(G31:I31)*$J$4</f>
        <v>0</v>
      </c>
      <c r="K31" s="42">
        <f t="shared" si="4"/>
        <v>0</v>
      </c>
      <c r="L31" s="42">
        <f t="shared" si="5"/>
        <v>0</v>
      </c>
      <c r="M31" s="29" t="s">
        <v>277</v>
      </c>
      <c r="N31" s="346"/>
    </row>
    <row r="32" s="2" customFormat="1" ht="144" spans="1:14">
      <c r="A32" s="24">
        <v>9</v>
      </c>
      <c r="B32" s="128" t="s">
        <v>278</v>
      </c>
      <c r="C32" s="129" t="s">
        <v>279</v>
      </c>
      <c r="D32" s="76" t="s">
        <v>197</v>
      </c>
      <c r="E32" s="66" t="s">
        <v>198</v>
      </c>
      <c r="F32" s="119">
        <v>130.63</v>
      </c>
      <c r="G32" s="29"/>
      <c r="H32" s="29"/>
      <c r="I32" s="42">
        <f>SUM(G32:H32)*$I$4</f>
        <v>0</v>
      </c>
      <c r="J32" s="42">
        <f>SUM(G32:I32)*$J$4</f>
        <v>0</v>
      </c>
      <c r="K32" s="42">
        <f t="shared" si="4"/>
        <v>0</v>
      </c>
      <c r="L32" s="42">
        <f t="shared" si="5"/>
        <v>0</v>
      </c>
      <c r="M32" s="29" t="s">
        <v>280</v>
      </c>
      <c r="N32" s="346"/>
    </row>
    <row r="33" s="2" customFormat="1" ht="144" spans="1:14">
      <c r="A33" s="24">
        <v>10</v>
      </c>
      <c r="B33" s="128" t="s">
        <v>281</v>
      </c>
      <c r="C33" s="217" t="s">
        <v>282</v>
      </c>
      <c r="D33" s="76" t="s">
        <v>197</v>
      </c>
      <c r="E33" s="66" t="s">
        <v>198</v>
      </c>
      <c r="F33" s="119">
        <v>228.64</v>
      </c>
      <c r="G33" s="29"/>
      <c r="H33" s="29"/>
      <c r="I33" s="42">
        <f>SUM(G33:H33)*$I$4</f>
        <v>0</v>
      </c>
      <c r="J33" s="42">
        <f>SUM(G33:I33)*$J$4</f>
        <v>0</v>
      </c>
      <c r="K33" s="42">
        <f t="shared" si="4"/>
        <v>0</v>
      </c>
      <c r="L33" s="42">
        <f t="shared" si="5"/>
        <v>0</v>
      </c>
      <c r="M33" s="29" t="s">
        <v>283</v>
      </c>
      <c r="N33" s="346"/>
    </row>
    <row r="34" s="3" customFormat="1" ht="84" spans="1:14">
      <c r="A34" s="24">
        <v>11</v>
      </c>
      <c r="B34" s="128" t="s">
        <v>324</v>
      </c>
      <c r="C34" s="217" t="s">
        <v>325</v>
      </c>
      <c r="D34" s="76" t="s">
        <v>197</v>
      </c>
      <c r="E34" s="66" t="s">
        <v>198</v>
      </c>
      <c r="F34" s="206">
        <v>49.6</v>
      </c>
      <c r="G34" s="29"/>
      <c r="H34" s="29"/>
      <c r="I34" s="42">
        <f>SUM(G34:H34)*$I$4</f>
        <v>0</v>
      </c>
      <c r="J34" s="42">
        <f>SUM(G34:I34)*$J$4</f>
        <v>0</v>
      </c>
      <c r="K34" s="42">
        <f t="shared" si="4"/>
        <v>0</v>
      </c>
      <c r="L34" s="42">
        <f t="shared" si="5"/>
        <v>0</v>
      </c>
      <c r="M34" s="29" t="s">
        <v>318</v>
      </c>
      <c r="N34" s="346"/>
    </row>
    <row r="35" s="3" customFormat="1" ht="36" spans="1:14">
      <c r="A35" s="24">
        <v>17</v>
      </c>
      <c r="B35" s="337" t="s">
        <v>290</v>
      </c>
      <c r="C35" s="187" t="s">
        <v>291</v>
      </c>
      <c r="D35" s="272" t="s">
        <v>292</v>
      </c>
      <c r="E35" s="338" t="s">
        <v>138</v>
      </c>
      <c r="F35" s="206">
        <f>4*3</f>
        <v>12</v>
      </c>
      <c r="G35" s="29"/>
      <c r="H35" s="29"/>
      <c r="I35" s="42">
        <f>SUM(G35:H35)*$I$4</f>
        <v>0</v>
      </c>
      <c r="J35" s="42">
        <f>SUM(G35:I35)*$J$4</f>
        <v>0</v>
      </c>
      <c r="K35" s="42">
        <f t="shared" si="4"/>
        <v>0</v>
      </c>
      <c r="L35" s="42">
        <f t="shared" si="5"/>
        <v>0</v>
      </c>
      <c r="M35" s="29"/>
      <c r="N35" s="346"/>
    </row>
    <row r="36" s="334" customFormat="1" ht="43.05" customHeight="1" spans="1:14">
      <c r="A36" s="223" t="s">
        <v>293</v>
      </c>
      <c r="B36" s="221" t="s">
        <v>294</v>
      </c>
      <c r="C36" s="221"/>
      <c r="D36" s="222"/>
      <c r="E36" s="222"/>
      <c r="F36" s="222"/>
      <c r="G36" s="223"/>
      <c r="H36" s="224"/>
      <c r="I36" s="224"/>
      <c r="J36" s="224"/>
      <c r="K36" s="224"/>
      <c r="L36" s="231"/>
      <c r="M36" s="224"/>
      <c r="N36" s="346"/>
    </row>
    <row r="37" s="3" customFormat="1" ht="25.95" customHeight="1" spans="1:14">
      <c r="A37" s="24">
        <v>2</v>
      </c>
      <c r="B37" s="27" t="s">
        <v>295</v>
      </c>
      <c r="C37" s="27" t="s">
        <v>296</v>
      </c>
      <c r="D37" s="27" t="s">
        <v>297</v>
      </c>
      <c r="E37" s="66" t="s">
        <v>198</v>
      </c>
      <c r="F37" s="119">
        <v>7259.96</v>
      </c>
      <c r="G37" s="29"/>
      <c r="H37" s="29"/>
      <c r="I37" s="42">
        <f>SUM(G37:H37)*$I$4</f>
        <v>0</v>
      </c>
      <c r="J37" s="42">
        <f>SUM(G37:I37)*$J$4</f>
        <v>0</v>
      </c>
      <c r="K37" s="42">
        <f>SUM(G37:J37)</f>
        <v>0</v>
      </c>
      <c r="L37" s="42">
        <f>F37*K37</f>
        <v>0</v>
      </c>
      <c r="M37" s="29" t="s">
        <v>298</v>
      </c>
      <c r="N37" s="346"/>
    </row>
    <row r="38" s="3" customFormat="1" ht="25.95" customHeight="1" spans="1:14">
      <c r="A38" s="24">
        <v>3</v>
      </c>
      <c r="B38" s="27" t="s">
        <v>299</v>
      </c>
      <c r="C38" s="27" t="s">
        <v>300</v>
      </c>
      <c r="D38" s="27" t="s">
        <v>297</v>
      </c>
      <c r="E38" s="66" t="s">
        <v>198</v>
      </c>
      <c r="F38" s="119">
        <f>4204.25+164.28+2854.94+36.49</f>
        <v>7259.96</v>
      </c>
      <c r="G38" s="29"/>
      <c r="H38" s="29"/>
      <c r="I38" s="42">
        <f>SUM(G38:H38)*$I$4</f>
        <v>0</v>
      </c>
      <c r="J38" s="42">
        <f>SUM(G38:I38)*$J$4</f>
        <v>0</v>
      </c>
      <c r="K38" s="42">
        <f>SUM(G38:J38)</f>
        <v>0</v>
      </c>
      <c r="L38" s="42">
        <f>F38*K38</f>
        <v>0</v>
      </c>
      <c r="M38" s="29" t="s">
        <v>301</v>
      </c>
      <c r="N38" s="346"/>
    </row>
    <row r="39" s="3" customFormat="1" ht="25.95" customHeight="1" spans="1:14">
      <c r="A39" s="24">
        <v>4</v>
      </c>
      <c r="B39" s="27" t="s">
        <v>302</v>
      </c>
      <c r="C39" s="27" t="s">
        <v>302</v>
      </c>
      <c r="D39" s="27" t="s">
        <v>297</v>
      </c>
      <c r="E39" s="66" t="s">
        <v>198</v>
      </c>
      <c r="F39" s="119">
        <f>4204.25+164.28+2854.94+36.49</f>
        <v>7259.96</v>
      </c>
      <c r="G39" s="29"/>
      <c r="H39" s="29"/>
      <c r="I39" s="42">
        <f>SUM(G39:H39)*$I$4</f>
        <v>0</v>
      </c>
      <c r="J39" s="42">
        <f>SUM(G39:I39)*$J$4</f>
        <v>0</v>
      </c>
      <c r="K39" s="42">
        <f>SUM(G39:J39)</f>
        <v>0</v>
      </c>
      <c r="L39" s="42">
        <f>F39*K39</f>
        <v>0</v>
      </c>
      <c r="M39" s="29" t="s">
        <v>303</v>
      </c>
      <c r="N39" s="346"/>
    </row>
    <row r="40" ht="24.9" customHeight="1" spans="1:13">
      <c r="A40" s="24"/>
      <c r="B40" s="152" t="s">
        <v>63</v>
      </c>
      <c r="C40" s="152"/>
      <c r="D40" s="104"/>
      <c r="E40" s="104"/>
      <c r="F40" s="104"/>
      <c r="G40" s="66"/>
      <c r="H40" s="105"/>
      <c r="I40" s="105"/>
      <c r="J40" s="105"/>
      <c r="K40" s="105"/>
      <c r="L40" s="161">
        <f>SUM(L1:L39)</f>
        <v>0</v>
      </c>
      <c r="M40" s="105"/>
    </row>
    <row r="41" ht="20.1" customHeight="1" spans="1:7">
      <c r="A41" s="83"/>
      <c r="B41" s="83"/>
      <c r="C41" s="83"/>
      <c r="D41" s="83"/>
      <c r="E41" s="83"/>
      <c r="F41" s="83"/>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1" name="区域2_1_1_3_2_1"/>
  </protectedRanges>
  <autoFilter ref="A2:N60">
    <extLst/>
  </autoFilter>
  <mergeCells count="18">
    <mergeCell ref="A1:M1"/>
    <mergeCell ref="G2:J2"/>
    <mergeCell ref="B5:C5"/>
    <mergeCell ref="B12:C12"/>
    <mergeCell ref="B25:C25"/>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0"/>
  <sheetViews>
    <sheetView view="pageBreakPreview" zoomScaleNormal="100" topLeftCell="B1" workbookViewId="0">
      <pane ySplit="4" topLeftCell="A10" activePane="bottomLeft" state="frozen"/>
      <selection/>
      <selection pane="bottomLeft" activeCell="K17" sqref="K17"/>
    </sheetView>
  </sheetViews>
  <sheetFormatPr defaultColWidth="9" defaultRowHeight="14"/>
  <cols>
    <col min="1" max="1" width="5.66363636363636" style="47" customWidth="1"/>
    <col min="2" max="2" width="15.6636363636364" style="47" customWidth="1"/>
    <col min="3" max="3" width="22.7818181818182" style="47" customWidth="1"/>
    <col min="4" max="4" width="20.6636363636364" style="47" customWidth="1"/>
    <col min="5" max="5" width="5.66363636363636" style="47" customWidth="1"/>
    <col min="6" max="7" width="10.6636363636364" style="47" customWidth="1"/>
    <col min="8" max="11" width="10.6636363636364" style="50" customWidth="1"/>
    <col min="12" max="12" width="10.5545454545455" style="50" customWidth="1"/>
    <col min="13" max="13" width="13.7818181818182" style="50" customWidth="1"/>
    <col min="14" max="16384" width="9" style="50"/>
  </cols>
  <sheetData>
    <row r="1" s="46" customFormat="1" ht="30" customHeight="1" spans="1:13">
      <c r="A1" s="99" t="s">
        <v>326</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s="334" customFormat="1" ht="43.05" customHeight="1" spans="1:13">
      <c r="A5" s="220" t="s">
        <v>193</v>
      </c>
      <c r="B5" s="221" t="s">
        <v>327</v>
      </c>
      <c r="C5" s="221"/>
      <c r="D5" s="222"/>
      <c r="E5" s="222"/>
      <c r="F5" s="222"/>
      <c r="G5" s="223"/>
      <c r="H5" s="224"/>
      <c r="I5" s="224"/>
      <c r="J5" s="224"/>
      <c r="K5" s="224"/>
      <c r="L5" s="231"/>
      <c r="M5" s="224"/>
    </row>
    <row r="6" s="97" customFormat="1" ht="126" customHeight="1" spans="1:13">
      <c r="A6" s="24">
        <v>1</v>
      </c>
      <c r="B6" s="63" t="s">
        <v>195</v>
      </c>
      <c r="C6" s="63" t="s">
        <v>328</v>
      </c>
      <c r="D6" s="76" t="s">
        <v>197</v>
      </c>
      <c r="E6" s="225" t="s">
        <v>198</v>
      </c>
      <c r="F6" s="106">
        <f>501.86+449.83*3+450.8-184.11-51.38*5</f>
        <v>1861.14</v>
      </c>
      <c r="G6" s="29"/>
      <c r="H6" s="29"/>
      <c r="I6" s="42">
        <f>SUM(G6:H6)*$I$4</f>
        <v>0</v>
      </c>
      <c r="J6" s="42">
        <f>SUM(G6:I6)*$J$4</f>
        <v>0</v>
      </c>
      <c r="K6" s="42">
        <f t="shared" ref="K6:K14" si="0">SUM(G6:J6)</f>
        <v>0</v>
      </c>
      <c r="L6" s="42">
        <f t="shared" ref="L6:L14" si="1">F6*K6</f>
        <v>0</v>
      </c>
      <c r="M6" s="29" t="s">
        <v>199</v>
      </c>
    </row>
    <row r="7" s="97" customFormat="1" ht="126" customHeight="1" spans="1:13">
      <c r="A7" s="24">
        <v>2</v>
      </c>
      <c r="B7" s="63" t="s">
        <v>305</v>
      </c>
      <c r="C7" s="63" t="s">
        <v>329</v>
      </c>
      <c r="D7" s="76" t="s">
        <v>330</v>
      </c>
      <c r="E7" s="225" t="s">
        <v>198</v>
      </c>
      <c r="F7" s="106">
        <f>220.53+51.38*5</f>
        <v>477.43</v>
      </c>
      <c r="G7" s="29"/>
      <c r="H7" s="29"/>
      <c r="I7" s="42">
        <f>SUM(G7:H7)*$I$4</f>
        <v>0</v>
      </c>
      <c r="J7" s="42">
        <f>SUM(G7:I7)*$J$4</f>
        <v>0</v>
      </c>
      <c r="K7" s="42">
        <f t="shared" si="0"/>
        <v>0</v>
      </c>
      <c r="L7" s="42">
        <f t="shared" si="1"/>
        <v>0</v>
      </c>
      <c r="M7" s="29" t="s">
        <v>199</v>
      </c>
    </row>
    <row r="8" s="97" customFormat="1" ht="126" customHeight="1" spans="1:13">
      <c r="A8" s="24">
        <v>3</v>
      </c>
      <c r="B8" s="63" t="s">
        <v>195</v>
      </c>
      <c r="C8" s="63" t="s">
        <v>331</v>
      </c>
      <c r="D8" s="76" t="s">
        <v>197</v>
      </c>
      <c r="E8" s="225" t="s">
        <v>198</v>
      </c>
      <c r="F8" s="106">
        <f>33.25*3+1010.34</f>
        <v>1110.09</v>
      </c>
      <c r="G8" s="29"/>
      <c r="H8" s="29"/>
      <c r="I8" s="42">
        <f>SUM(G8:H8)*$I$4</f>
        <v>0</v>
      </c>
      <c r="J8" s="42">
        <f>SUM(G8:I8)*$J$4</f>
        <v>0</v>
      </c>
      <c r="K8" s="42">
        <f t="shared" si="0"/>
        <v>0</v>
      </c>
      <c r="L8" s="42">
        <f t="shared" si="1"/>
        <v>0</v>
      </c>
      <c r="M8" s="29" t="s">
        <v>199</v>
      </c>
    </row>
    <row r="9" s="97" customFormat="1" ht="126" customHeight="1" spans="1:13">
      <c r="A9" s="24">
        <v>4</v>
      </c>
      <c r="B9" s="63" t="s">
        <v>195</v>
      </c>
      <c r="C9" s="63" t="s">
        <v>332</v>
      </c>
      <c r="D9" s="76" t="s">
        <v>197</v>
      </c>
      <c r="E9" s="225" t="s">
        <v>198</v>
      </c>
      <c r="F9" s="106">
        <f>8.84+8.84*3+8.84</f>
        <v>44.2</v>
      </c>
      <c r="G9" s="29"/>
      <c r="H9" s="29"/>
      <c r="I9" s="42">
        <f>SUM(G9:H9)*$I$4</f>
        <v>0</v>
      </c>
      <c r="J9" s="42">
        <f>SUM(G9:I9)*$J$4</f>
        <v>0</v>
      </c>
      <c r="K9" s="42">
        <f t="shared" si="0"/>
        <v>0</v>
      </c>
      <c r="L9" s="42">
        <f t="shared" si="1"/>
        <v>0</v>
      </c>
      <c r="M9" s="29" t="s">
        <v>199</v>
      </c>
    </row>
    <row r="10" s="97" customFormat="1" ht="120" spans="1:13">
      <c r="A10" s="24">
        <v>5</v>
      </c>
      <c r="B10" s="63" t="s">
        <v>195</v>
      </c>
      <c r="C10" s="63" t="s">
        <v>200</v>
      </c>
      <c r="D10" s="76" t="s">
        <v>197</v>
      </c>
      <c r="E10" s="225" t="s">
        <v>198</v>
      </c>
      <c r="F10" s="64">
        <f>(3+1.76)*4+13.5+3</f>
        <v>35.54</v>
      </c>
      <c r="G10" s="29"/>
      <c r="H10" s="29"/>
      <c r="I10" s="42">
        <f>SUM(G10:H10)*$I$4</f>
        <v>0</v>
      </c>
      <c r="J10" s="42">
        <f>SUM(G10:I10)*$J$4</f>
        <v>0</v>
      </c>
      <c r="K10" s="42">
        <f t="shared" si="0"/>
        <v>0</v>
      </c>
      <c r="L10" s="42">
        <f t="shared" si="1"/>
        <v>0</v>
      </c>
      <c r="M10" s="29" t="s">
        <v>199</v>
      </c>
    </row>
    <row r="11" s="2" customFormat="1" ht="96" spans="1:13">
      <c r="A11" s="24">
        <v>7</v>
      </c>
      <c r="B11" s="63" t="s">
        <v>219</v>
      </c>
      <c r="C11" s="63" t="s">
        <v>333</v>
      </c>
      <c r="D11" s="63" t="s">
        <v>197</v>
      </c>
      <c r="E11" s="63" t="s">
        <v>198</v>
      </c>
      <c r="F11" s="106">
        <f>5.33+6.98*3+6.98</f>
        <v>33.25</v>
      </c>
      <c r="G11" s="29"/>
      <c r="H11" s="29"/>
      <c r="I11" s="42">
        <f>SUM(G11:H11)*$I$4</f>
        <v>0</v>
      </c>
      <c r="J11" s="42">
        <f>SUM(G11:I11)*$J$4</f>
        <v>0</v>
      </c>
      <c r="K11" s="42">
        <f t="shared" si="0"/>
        <v>0</v>
      </c>
      <c r="L11" s="42">
        <f t="shared" si="1"/>
        <v>0</v>
      </c>
      <c r="M11" s="29" t="s">
        <v>218</v>
      </c>
    </row>
    <row r="12" s="2" customFormat="1" ht="48" spans="1:13">
      <c r="A12" s="24">
        <v>8</v>
      </c>
      <c r="B12" s="63" t="s">
        <v>208</v>
      </c>
      <c r="C12" s="63" t="s">
        <v>334</v>
      </c>
      <c r="D12" s="63" t="s">
        <v>210</v>
      </c>
      <c r="E12" s="63" t="s">
        <v>211</v>
      </c>
      <c r="F12" s="106">
        <f>969.43+977.61*3+4.64-23.8</f>
        <v>3883.1</v>
      </c>
      <c r="G12" s="29"/>
      <c r="H12" s="29"/>
      <c r="I12" s="42">
        <f>SUM(G12:H12)*$I$4</f>
        <v>0</v>
      </c>
      <c r="J12" s="42">
        <f>SUM(G12:I12)*$J$4</f>
        <v>0</v>
      </c>
      <c r="K12" s="42">
        <f t="shared" si="0"/>
        <v>0</v>
      </c>
      <c r="L12" s="42">
        <f t="shared" si="1"/>
        <v>0</v>
      </c>
      <c r="M12" s="29" t="s">
        <v>212</v>
      </c>
    </row>
    <row r="13" s="2" customFormat="1" ht="48" spans="1:13">
      <c r="A13" s="24">
        <v>9</v>
      </c>
      <c r="B13" s="63" t="s">
        <v>213</v>
      </c>
      <c r="C13" s="63" t="s">
        <v>335</v>
      </c>
      <c r="D13" s="63" t="s">
        <v>215</v>
      </c>
      <c r="E13" s="63" t="s">
        <v>211</v>
      </c>
      <c r="F13" s="106">
        <f>F12</f>
        <v>3883.1</v>
      </c>
      <c r="G13" s="29"/>
      <c r="H13" s="29"/>
      <c r="I13" s="42">
        <f>SUM(G13:H13)*$I$4</f>
        <v>0</v>
      </c>
      <c r="J13" s="42">
        <f>SUM(G13:I13)*$J$4</f>
        <v>0</v>
      </c>
      <c r="K13" s="42">
        <f t="shared" si="0"/>
        <v>0</v>
      </c>
      <c r="L13" s="42">
        <f t="shared" si="1"/>
        <v>0</v>
      </c>
      <c r="M13" s="29" t="s">
        <v>212</v>
      </c>
    </row>
    <row r="14" s="97" customFormat="1" ht="37.95" customHeight="1" spans="1:13">
      <c r="A14" s="301">
        <v>10</v>
      </c>
      <c r="B14" s="339" t="s">
        <v>221</v>
      </c>
      <c r="C14" s="339" t="s">
        <v>222</v>
      </c>
      <c r="D14" s="339" t="s">
        <v>223</v>
      </c>
      <c r="E14" s="339" t="s">
        <v>178</v>
      </c>
      <c r="F14" s="340">
        <f>(5.2+3.88)*5*0.4</f>
        <v>18.16</v>
      </c>
      <c r="G14" s="307"/>
      <c r="H14" s="307"/>
      <c r="I14" s="331">
        <f>SUM(G14:H14)*$I$4</f>
        <v>0</v>
      </c>
      <c r="J14" s="331">
        <f>SUM(G14:I14)*$J$4</f>
        <v>0</v>
      </c>
      <c r="K14" s="331">
        <f t="shared" si="0"/>
        <v>0</v>
      </c>
      <c r="L14" s="331">
        <f t="shared" si="1"/>
        <v>0</v>
      </c>
      <c r="M14" s="29" t="s">
        <v>224</v>
      </c>
    </row>
    <row r="15" s="336" customFormat="1" ht="43.05" customHeight="1" spans="1:13">
      <c r="A15" s="220" t="s">
        <v>225</v>
      </c>
      <c r="B15" s="221" t="s">
        <v>336</v>
      </c>
      <c r="C15" s="221"/>
      <c r="D15" s="222"/>
      <c r="E15" s="222"/>
      <c r="F15" s="222"/>
      <c r="G15" s="223"/>
      <c r="H15" s="224"/>
      <c r="I15" s="224"/>
      <c r="J15" s="224"/>
      <c r="K15" s="224"/>
      <c r="L15" s="231"/>
      <c r="M15" s="231"/>
    </row>
    <row r="16" s="2" customFormat="1" ht="85.05" customHeight="1" spans="1:13">
      <c r="A16" s="24">
        <v>1</v>
      </c>
      <c r="B16" s="70" t="s">
        <v>227</v>
      </c>
      <c r="C16" s="70" t="s">
        <v>228</v>
      </c>
      <c r="D16" s="189" t="s">
        <v>229</v>
      </c>
      <c r="E16" s="66" t="s">
        <v>198</v>
      </c>
      <c r="F16" s="106">
        <f>426.9+390.42*3+262.9</f>
        <v>1861.06</v>
      </c>
      <c r="G16" s="29"/>
      <c r="H16" s="29"/>
      <c r="I16" s="42">
        <f>SUM(G16:H16)*$I$4</f>
        <v>0</v>
      </c>
      <c r="J16" s="42">
        <f>SUM(G16:I16)*$J$4</f>
        <v>0</v>
      </c>
      <c r="K16" s="42">
        <f t="shared" ref="K16:K27" si="2">SUM(G16:J16)</f>
        <v>0</v>
      </c>
      <c r="L16" s="42">
        <f t="shared" ref="L16:L27" si="3">F16*K16</f>
        <v>0</v>
      </c>
      <c r="M16" s="29" t="s">
        <v>230</v>
      </c>
    </row>
    <row r="17" s="2" customFormat="1" ht="96" spans="1:13">
      <c r="A17" s="24">
        <v>2</v>
      </c>
      <c r="B17" s="70" t="s">
        <v>231</v>
      </c>
      <c r="C17" s="70" t="s">
        <v>232</v>
      </c>
      <c r="D17" s="167" t="s">
        <v>233</v>
      </c>
      <c r="E17" s="66" t="s">
        <v>198</v>
      </c>
      <c r="F17" s="106">
        <f>479.52+444.09*3+316.93</f>
        <v>2128.72</v>
      </c>
      <c r="G17" s="29"/>
      <c r="H17" s="29"/>
      <c r="I17" s="42">
        <f>SUM(G17:H17)*$I$4</f>
        <v>0</v>
      </c>
      <c r="J17" s="42">
        <f>SUM(G17:I17)*$J$4</f>
        <v>0</v>
      </c>
      <c r="K17" s="42">
        <f t="shared" si="2"/>
        <v>0</v>
      </c>
      <c r="L17" s="42">
        <f t="shared" si="3"/>
        <v>0</v>
      </c>
      <c r="M17" s="29" t="s">
        <v>337</v>
      </c>
    </row>
    <row r="18" s="97" customFormat="1" ht="108" spans="1:13">
      <c r="A18" s="24">
        <v>3</v>
      </c>
      <c r="B18" s="70" t="s">
        <v>338</v>
      </c>
      <c r="C18" s="70" t="s">
        <v>339</v>
      </c>
      <c r="D18" s="167" t="s">
        <v>233</v>
      </c>
      <c r="E18" s="66" t="s">
        <v>198</v>
      </c>
      <c r="F18" s="106">
        <f>213.48+357.72*3</f>
        <v>1286.64</v>
      </c>
      <c r="G18" s="29"/>
      <c r="H18" s="29"/>
      <c r="I18" s="42">
        <f>SUM(G18:H18)*$I$4</f>
        <v>0</v>
      </c>
      <c r="J18" s="42">
        <f>SUM(G18:I18)*$J$4</f>
        <v>0</v>
      </c>
      <c r="K18" s="42">
        <f t="shared" si="2"/>
        <v>0</v>
      </c>
      <c r="L18" s="42">
        <f t="shared" si="3"/>
        <v>0</v>
      </c>
      <c r="M18" s="29" t="s">
        <v>340</v>
      </c>
    </row>
    <row r="19" s="2" customFormat="1" ht="84" spans="1:13">
      <c r="A19" s="24">
        <v>4</v>
      </c>
      <c r="B19" s="70" t="s">
        <v>235</v>
      </c>
      <c r="C19" s="70" t="s">
        <v>236</v>
      </c>
      <c r="D19" s="189" t="s">
        <v>229</v>
      </c>
      <c r="E19" s="66" t="s">
        <v>198</v>
      </c>
      <c r="F19" s="106">
        <f>60.495+61.88*3+62.44</f>
        <v>308.575</v>
      </c>
      <c r="G19" s="29"/>
      <c r="H19" s="29"/>
      <c r="I19" s="42">
        <f>SUM(G19:H19)*$I$4</f>
        <v>0</v>
      </c>
      <c r="J19" s="42">
        <f>SUM(G19:I19)*$J$4</f>
        <v>0</v>
      </c>
      <c r="K19" s="42">
        <f t="shared" si="2"/>
        <v>0</v>
      </c>
      <c r="L19" s="42">
        <f t="shared" si="3"/>
        <v>0</v>
      </c>
      <c r="M19" s="29" t="s">
        <v>230</v>
      </c>
    </row>
    <row r="20" s="2" customFormat="1" ht="108" spans="1:13">
      <c r="A20" s="24">
        <v>5</v>
      </c>
      <c r="B20" s="113" t="s">
        <v>237</v>
      </c>
      <c r="C20" s="114" t="s">
        <v>238</v>
      </c>
      <c r="D20" s="167" t="s">
        <v>233</v>
      </c>
      <c r="E20" s="116" t="s">
        <v>211</v>
      </c>
      <c r="F20" s="64">
        <f>60.495*1.05+61.88*3*1.05+65.43</f>
        <v>323.87175</v>
      </c>
      <c r="G20" s="29"/>
      <c r="H20" s="29"/>
      <c r="I20" s="42">
        <f>SUM(G20:H20)*$I$4</f>
        <v>0</v>
      </c>
      <c r="J20" s="42">
        <f>SUM(G20:I20)*$J$4</f>
        <v>0</v>
      </c>
      <c r="K20" s="42">
        <f t="shared" si="2"/>
        <v>0</v>
      </c>
      <c r="L20" s="42">
        <f t="shared" si="3"/>
        <v>0</v>
      </c>
      <c r="M20" s="29" t="s">
        <v>230</v>
      </c>
    </row>
    <row r="21" s="97" customFormat="1" ht="144" spans="1:13">
      <c r="A21" s="24">
        <v>6</v>
      </c>
      <c r="B21" s="186" t="s">
        <v>341</v>
      </c>
      <c r="C21" s="187" t="s">
        <v>240</v>
      </c>
      <c r="D21" s="188" t="s">
        <v>233</v>
      </c>
      <c r="E21" s="127" t="s">
        <v>211</v>
      </c>
      <c r="F21" s="64">
        <f>742.03*1.05+640.53*3*1.05</f>
        <v>2796.801</v>
      </c>
      <c r="G21" s="29"/>
      <c r="H21" s="29"/>
      <c r="I21" s="42">
        <f>SUM(G21:H21)*$I$4</f>
        <v>0</v>
      </c>
      <c r="J21" s="42">
        <f>SUM(G21:I21)*$J$4</f>
        <v>0</v>
      </c>
      <c r="K21" s="42">
        <f t="shared" si="2"/>
        <v>0</v>
      </c>
      <c r="L21" s="42">
        <f t="shared" si="3"/>
        <v>0</v>
      </c>
      <c r="M21" s="29" t="s">
        <v>342</v>
      </c>
    </row>
    <row r="22" s="2" customFormat="1" ht="144" spans="1:13">
      <c r="A22" s="24">
        <v>7</v>
      </c>
      <c r="B22" s="186" t="s">
        <v>239</v>
      </c>
      <c r="C22" s="187" t="s">
        <v>240</v>
      </c>
      <c r="D22" s="188" t="s">
        <v>233</v>
      </c>
      <c r="E22" s="127" t="s">
        <v>211</v>
      </c>
      <c r="F22" s="106">
        <f>74.47+88.96*3+104.16</f>
        <v>445.51</v>
      </c>
      <c r="G22" s="29"/>
      <c r="H22" s="29"/>
      <c r="I22" s="42">
        <f>SUM(G22:H22)*$I$4</f>
        <v>0</v>
      </c>
      <c r="J22" s="42">
        <f>SUM(G22:I22)*$J$4</f>
        <v>0</v>
      </c>
      <c r="K22" s="42">
        <f t="shared" si="2"/>
        <v>0</v>
      </c>
      <c r="L22" s="42">
        <f t="shared" si="3"/>
        <v>0</v>
      </c>
      <c r="M22" s="29" t="s">
        <v>337</v>
      </c>
    </row>
    <row r="23" s="97" customFormat="1" ht="120" spans="1:13">
      <c r="A23" s="24">
        <v>8</v>
      </c>
      <c r="B23" s="186" t="s">
        <v>343</v>
      </c>
      <c r="C23" s="187" t="s">
        <v>344</v>
      </c>
      <c r="D23" s="188" t="s">
        <v>233</v>
      </c>
      <c r="E23" s="66" t="s">
        <v>198</v>
      </c>
      <c r="F23" s="106">
        <f>950.31*1.1</f>
        <v>1045.341</v>
      </c>
      <c r="G23" s="29"/>
      <c r="H23" s="29"/>
      <c r="I23" s="42">
        <f>SUM(G23:H23)*$I$4</f>
        <v>0</v>
      </c>
      <c r="J23" s="42">
        <f>SUM(G23:I23)*$J$4</f>
        <v>0</v>
      </c>
      <c r="K23" s="42">
        <f t="shared" si="2"/>
        <v>0</v>
      </c>
      <c r="L23" s="42">
        <f t="shared" si="3"/>
        <v>0</v>
      </c>
      <c r="M23" s="29" t="s">
        <v>342</v>
      </c>
    </row>
    <row r="24" s="2" customFormat="1" ht="72" spans="1:13">
      <c r="A24" s="24">
        <v>9</v>
      </c>
      <c r="B24" s="167" t="s">
        <v>241</v>
      </c>
      <c r="C24" s="167" t="s">
        <v>242</v>
      </c>
      <c r="D24" s="167" t="s">
        <v>197</v>
      </c>
      <c r="E24" s="66" t="s">
        <v>198</v>
      </c>
      <c r="F24" s="106">
        <f>149.25+199.73*3+201.87</f>
        <v>950.31</v>
      </c>
      <c r="G24" s="29"/>
      <c r="H24" s="29"/>
      <c r="I24" s="42">
        <f>SUM(G24:H24)*$I$4</f>
        <v>0</v>
      </c>
      <c r="J24" s="42">
        <f>SUM(G24:I24)*$J$4</f>
        <v>0</v>
      </c>
      <c r="K24" s="42">
        <f t="shared" si="2"/>
        <v>0</v>
      </c>
      <c r="L24" s="42">
        <f t="shared" si="3"/>
        <v>0</v>
      </c>
      <c r="M24" s="29" t="s">
        <v>243</v>
      </c>
    </row>
    <row r="25" s="2" customFormat="1" ht="72" spans="1:13">
      <c r="A25" s="24">
        <v>10</v>
      </c>
      <c r="B25" s="70" t="s">
        <v>313</v>
      </c>
      <c r="C25" s="70" t="s">
        <v>314</v>
      </c>
      <c r="D25" s="189" t="s">
        <v>229</v>
      </c>
      <c r="E25" s="66" t="s">
        <v>198</v>
      </c>
      <c r="F25" s="106">
        <f>30.5*3+815.56</f>
        <v>907.06</v>
      </c>
      <c r="G25" s="29"/>
      <c r="H25" s="29"/>
      <c r="I25" s="42">
        <f>SUM(G25:H25)*$I$4</f>
        <v>0</v>
      </c>
      <c r="J25" s="42">
        <f>SUM(G25:I25)*$J$4</f>
        <v>0</v>
      </c>
      <c r="K25" s="42">
        <f t="shared" si="2"/>
        <v>0</v>
      </c>
      <c r="L25" s="42">
        <f t="shared" si="3"/>
        <v>0</v>
      </c>
      <c r="M25" s="29" t="s">
        <v>315</v>
      </c>
    </row>
    <row r="26" s="2" customFormat="1" ht="72" spans="1:13">
      <c r="A26" s="24">
        <v>12</v>
      </c>
      <c r="B26" s="113" t="s">
        <v>247</v>
      </c>
      <c r="C26" s="71" t="s">
        <v>248</v>
      </c>
      <c r="D26" s="196" t="s">
        <v>249</v>
      </c>
      <c r="E26" s="116" t="s">
        <v>175</v>
      </c>
      <c r="F26" s="106">
        <f>24.5/0.2+34.7/0.2*3+23.02/0.2</f>
        <v>758.1</v>
      </c>
      <c r="G26" s="29"/>
      <c r="H26" s="29"/>
      <c r="I26" s="42">
        <f>SUM(G26:H26)*$I$4</f>
        <v>0</v>
      </c>
      <c r="J26" s="42">
        <f>SUM(G26:I26)*$J$4</f>
        <v>0</v>
      </c>
      <c r="K26" s="42">
        <f t="shared" si="2"/>
        <v>0</v>
      </c>
      <c r="L26" s="42">
        <f t="shared" si="3"/>
        <v>0</v>
      </c>
      <c r="M26" s="29" t="s">
        <v>250</v>
      </c>
    </row>
    <row r="27" s="2" customFormat="1" ht="60" spans="1:13">
      <c r="A27" s="24">
        <v>13</v>
      </c>
      <c r="B27" s="113" t="s">
        <v>251</v>
      </c>
      <c r="C27" s="72" t="s">
        <v>252</v>
      </c>
      <c r="D27" s="196" t="s">
        <v>249</v>
      </c>
      <c r="E27" s="116" t="s">
        <v>175</v>
      </c>
      <c r="F27" s="106">
        <f>73.33+13.49*3+13.49+113.6</f>
        <v>240.89</v>
      </c>
      <c r="G27" s="29"/>
      <c r="H27" s="29"/>
      <c r="I27" s="42">
        <f>SUM(G27:H27)*$I$4</f>
        <v>0</v>
      </c>
      <c r="J27" s="42">
        <f>SUM(G27:I27)*$J$4</f>
        <v>0</v>
      </c>
      <c r="K27" s="42">
        <f t="shared" si="2"/>
        <v>0</v>
      </c>
      <c r="L27" s="42">
        <f t="shared" si="3"/>
        <v>0</v>
      </c>
      <c r="M27" s="29" t="s">
        <v>253</v>
      </c>
    </row>
    <row r="28" s="336" customFormat="1" ht="43.05" customHeight="1" spans="1:13">
      <c r="A28" s="220" t="s">
        <v>254</v>
      </c>
      <c r="B28" s="221" t="s">
        <v>345</v>
      </c>
      <c r="C28" s="221"/>
      <c r="D28" s="222"/>
      <c r="E28" s="222"/>
      <c r="F28" s="222"/>
      <c r="G28" s="223"/>
      <c r="H28" s="224"/>
      <c r="I28" s="224"/>
      <c r="J28" s="224"/>
      <c r="K28" s="224"/>
      <c r="L28" s="231"/>
      <c r="M28" s="231"/>
    </row>
    <row r="29" s="2" customFormat="1" ht="84" spans="1:13">
      <c r="A29" s="24">
        <v>1</v>
      </c>
      <c r="B29" s="25" t="s">
        <v>256</v>
      </c>
      <c r="C29" s="118" t="s">
        <v>257</v>
      </c>
      <c r="D29" s="76" t="s">
        <v>197</v>
      </c>
      <c r="E29" s="66" t="s">
        <v>198</v>
      </c>
      <c r="F29" s="119">
        <f>827.14+1181.75*3+1550.41</f>
        <v>5922.8</v>
      </c>
      <c r="G29" s="29"/>
      <c r="H29" s="29"/>
      <c r="I29" s="42">
        <f>SUM(G29:H29)*$I$4</f>
        <v>0</v>
      </c>
      <c r="J29" s="42">
        <f>SUM(G29:I29)*$J$4</f>
        <v>0</v>
      </c>
      <c r="K29" s="42">
        <f t="shared" ref="K29:K35" si="4">SUM(G29:J29)</f>
        <v>0</v>
      </c>
      <c r="L29" s="42">
        <f t="shared" ref="L29:L35" si="5">F29*K29</f>
        <v>0</v>
      </c>
      <c r="M29" s="29" t="s">
        <v>258</v>
      </c>
    </row>
    <row r="30" s="2" customFormat="1" ht="120" spans="1:13">
      <c r="A30" s="24">
        <v>2</v>
      </c>
      <c r="B30" s="25" t="s">
        <v>259</v>
      </c>
      <c r="C30" s="63" t="s">
        <v>322</v>
      </c>
      <c r="D30" s="76" t="s">
        <v>197</v>
      </c>
      <c r="E30" s="66" t="s">
        <v>198</v>
      </c>
      <c r="F30" s="119">
        <f>417.68+464.6*3+459.43</f>
        <v>2270.91</v>
      </c>
      <c r="G30" s="29"/>
      <c r="H30" s="29"/>
      <c r="I30" s="42">
        <f>SUM(G30:H30)*$I$4</f>
        <v>0</v>
      </c>
      <c r="J30" s="42">
        <f>SUM(G30:I30)*$J$4</f>
        <v>0</v>
      </c>
      <c r="K30" s="42">
        <f t="shared" si="4"/>
        <v>0</v>
      </c>
      <c r="L30" s="42">
        <f t="shared" si="5"/>
        <v>0</v>
      </c>
      <c r="M30" s="29" t="s">
        <v>261</v>
      </c>
    </row>
    <row r="31" s="3" customFormat="1" ht="108" spans="1:13">
      <c r="A31" s="24">
        <v>3</v>
      </c>
      <c r="B31" s="308" t="s">
        <v>262</v>
      </c>
      <c r="C31" s="309" t="s">
        <v>263</v>
      </c>
      <c r="D31" s="188" t="s">
        <v>264</v>
      </c>
      <c r="E31" s="310" t="s">
        <v>265</v>
      </c>
      <c r="F31" s="119">
        <f>6+5*4</f>
        <v>26</v>
      </c>
      <c r="G31" s="29"/>
      <c r="H31" s="29"/>
      <c r="I31" s="42">
        <f>SUM(G31:H31)*$I$4</f>
        <v>0</v>
      </c>
      <c r="J31" s="42">
        <f>SUM(G31:I31)*$J$4</f>
        <v>0</v>
      </c>
      <c r="K31" s="42">
        <f t="shared" si="4"/>
        <v>0</v>
      </c>
      <c r="L31" s="42">
        <f t="shared" si="5"/>
        <v>0</v>
      </c>
      <c r="M31" s="29" t="s">
        <v>266</v>
      </c>
    </row>
    <row r="32" s="3" customFormat="1" ht="42" customHeight="1" spans="1:13">
      <c r="A32" s="24">
        <v>6</v>
      </c>
      <c r="B32" s="271" t="s">
        <v>267</v>
      </c>
      <c r="C32" s="272" t="s">
        <v>268</v>
      </c>
      <c r="D32" s="212" t="s">
        <v>269</v>
      </c>
      <c r="E32" s="213" t="s">
        <v>211</v>
      </c>
      <c r="F32" s="119">
        <v>74.54</v>
      </c>
      <c r="G32" s="29"/>
      <c r="H32" s="29"/>
      <c r="I32" s="42">
        <f>SUM(G32:H32)*$I$4</f>
        <v>0</v>
      </c>
      <c r="J32" s="42">
        <f>SUM(G32:I32)*$J$4</f>
        <v>0</v>
      </c>
      <c r="K32" s="42">
        <f t="shared" si="4"/>
        <v>0</v>
      </c>
      <c r="L32" s="42">
        <f t="shared" si="5"/>
        <v>0</v>
      </c>
      <c r="M32" s="29" t="s">
        <v>270</v>
      </c>
    </row>
    <row r="33" s="2" customFormat="1" ht="72" spans="1:13">
      <c r="A33" s="24">
        <v>8</v>
      </c>
      <c r="B33" s="128" t="s">
        <v>271</v>
      </c>
      <c r="C33" s="129" t="s">
        <v>346</v>
      </c>
      <c r="D33" s="248" t="s">
        <v>273</v>
      </c>
      <c r="E33" s="131" t="s">
        <v>175</v>
      </c>
      <c r="F33" s="119">
        <f>49.85+45.74*3+39.7</f>
        <v>226.77</v>
      </c>
      <c r="G33" s="29"/>
      <c r="H33" s="29"/>
      <c r="I33" s="42">
        <f>SUM(G33:H33)*$I$4</f>
        <v>0</v>
      </c>
      <c r="J33" s="42">
        <f>SUM(G33:I33)*$J$4</f>
        <v>0</v>
      </c>
      <c r="K33" s="42">
        <f t="shared" si="4"/>
        <v>0</v>
      </c>
      <c r="L33" s="42">
        <f t="shared" si="5"/>
        <v>0</v>
      </c>
      <c r="M33" s="29" t="s">
        <v>274</v>
      </c>
    </row>
    <row r="34" s="2" customFormat="1" ht="48" spans="1:13">
      <c r="A34" s="24">
        <v>9</v>
      </c>
      <c r="B34" s="128" t="s">
        <v>347</v>
      </c>
      <c r="C34" s="129" t="s">
        <v>348</v>
      </c>
      <c r="D34" s="248" t="s">
        <v>349</v>
      </c>
      <c r="E34" s="131" t="s">
        <v>198</v>
      </c>
      <c r="F34" s="119">
        <f>0.73*4.1+1.5*4.1*4</f>
        <v>27.593</v>
      </c>
      <c r="G34" s="29"/>
      <c r="H34" s="29"/>
      <c r="I34" s="42">
        <f>SUM(G34:H34)*$I$4</f>
        <v>0</v>
      </c>
      <c r="J34" s="42">
        <f>SUM(G34:I34)*$J$4</f>
        <v>0</v>
      </c>
      <c r="K34" s="42">
        <f t="shared" si="4"/>
        <v>0</v>
      </c>
      <c r="L34" s="42">
        <f t="shared" si="5"/>
        <v>0</v>
      </c>
      <c r="M34" s="29" t="s">
        <v>350</v>
      </c>
    </row>
    <row r="35" s="3" customFormat="1" ht="36" spans="1:13">
      <c r="A35" s="24">
        <v>16</v>
      </c>
      <c r="B35" s="337" t="s">
        <v>290</v>
      </c>
      <c r="C35" s="187" t="s">
        <v>291</v>
      </c>
      <c r="D35" s="272" t="s">
        <v>292</v>
      </c>
      <c r="E35" s="338" t="s">
        <v>138</v>
      </c>
      <c r="F35" s="206">
        <f>50</f>
        <v>50</v>
      </c>
      <c r="G35" s="29"/>
      <c r="H35" s="29"/>
      <c r="I35" s="42">
        <f>SUM(G35:H35)*$I$4</f>
        <v>0</v>
      </c>
      <c r="J35" s="42">
        <f>SUM(G35:I35)*$J$4</f>
        <v>0</v>
      </c>
      <c r="K35" s="42">
        <f t="shared" si="4"/>
        <v>0</v>
      </c>
      <c r="L35" s="42">
        <f t="shared" si="5"/>
        <v>0</v>
      </c>
      <c r="M35" s="29"/>
    </row>
    <row r="36" s="334" customFormat="1" ht="43.05" customHeight="1" spans="1:13">
      <c r="A36" s="223" t="s">
        <v>293</v>
      </c>
      <c r="B36" s="221" t="s">
        <v>294</v>
      </c>
      <c r="C36" s="221"/>
      <c r="D36" s="222"/>
      <c r="E36" s="222"/>
      <c r="F36" s="222"/>
      <c r="G36" s="223"/>
      <c r="H36" s="224"/>
      <c r="I36" s="224"/>
      <c r="J36" s="224"/>
      <c r="K36" s="224"/>
      <c r="L36" s="231"/>
      <c r="M36" s="231"/>
    </row>
    <row r="37" s="3" customFormat="1" ht="25.95" customHeight="1" spans="1:13">
      <c r="A37" s="24">
        <v>2</v>
      </c>
      <c r="B37" s="27" t="s">
        <v>295</v>
      </c>
      <c r="C37" s="27" t="s">
        <v>296</v>
      </c>
      <c r="D37" s="27" t="s">
        <v>297</v>
      </c>
      <c r="E37" s="66" t="s">
        <v>198</v>
      </c>
      <c r="F37" s="119">
        <v>7396.59</v>
      </c>
      <c r="G37" s="29"/>
      <c r="H37" s="29"/>
      <c r="I37" s="42">
        <f>SUM(G37:H37)*$I$4</f>
        <v>0</v>
      </c>
      <c r="J37" s="42">
        <f>SUM(G37:I37)*$J$4</f>
        <v>0</v>
      </c>
      <c r="K37" s="42">
        <f>SUM(G37:J37)</f>
        <v>0</v>
      </c>
      <c r="L37" s="42">
        <f>F37*K37</f>
        <v>0</v>
      </c>
      <c r="M37" s="29" t="s">
        <v>298</v>
      </c>
    </row>
    <row r="38" s="3" customFormat="1" ht="25.95" customHeight="1" spans="1:13">
      <c r="A38" s="24">
        <v>3</v>
      </c>
      <c r="B38" s="27" t="s">
        <v>299</v>
      </c>
      <c r="C38" s="27" t="s">
        <v>300</v>
      </c>
      <c r="D38" s="27" t="s">
        <v>297</v>
      </c>
      <c r="E38" s="66" t="s">
        <v>198</v>
      </c>
      <c r="F38" s="119">
        <v>7396.59</v>
      </c>
      <c r="G38" s="29"/>
      <c r="H38" s="29"/>
      <c r="I38" s="42">
        <f>SUM(G38:H38)*$I$4</f>
        <v>0</v>
      </c>
      <c r="J38" s="42">
        <f>SUM(G38:I38)*$J$4</f>
        <v>0</v>
      </c>
      <c r="K38" s="42">
        <f>SUM(G38:J38)</f>
        <v>0</v>
      </c>
      <c r="L38" s="42">
        <f>F38*K38</f>
        <v>0</v>
      </c>
      <c r="M38" s="29" t="s">
        <v>301</v>
      </c>
    </row>
    <row r="39" s="3" customFormat="1" ht="25.95" customHeight="1" spans="1:13">
      <c r="A39" s="24">
        <v>4</v>
      </c>
      <c r="B39" s="27" t="s">
        <v>302</v>
      </c>
      <c r="C39" s="27" t="s">
        <v>302</v>
      </c>
      <c r="D39" s="27" t="s">
        <v>297</v>
      </c>
      <c r="E39" s="66" t="s">
        <v>198</v>
      </c>
      <c r="F39" s="119">
        <v>7396.59</v>
      </c>
      <c r="G39" s="29"/>
      <c r="H39" s="29"/>
      <c r="I39" s="42">
        <f>SUM(G39:H39)*$I$4</f>
        <v>0</v>
      </c>
      <c r="J39" s="42">
        <f>SUM(G39:I39)*$J$4</f>
        <v>0</v>
      </c>
      <c r="K39" s="42">
        <f>SUM(G39:J39)</f>
        <v>0</v>
      </c>
      <c r="L39" s="42">
        <f>F39*K39</f>
        <v>0</v>
      </c>
      <c r="M39" s="29" t="s">
        <v>303</v>
      </c>
    </row>
    <row r="40" ht="24.9" customHeight="1" spans="1:13">
      <c r="A40" s="24"/>
      <c r="B40" s="152" t="s">
        <v>63</v>
      </c>
      <c r="C40" s="152"/>
      <c r="D40" s="104"/>
      <c r="E40" s="104"/>
      <c r="F40" s="104"/>
      <c r="G40" s="66"/>
      <c r="H40" s="105"/>
      <c r="I40" s="105"/>
      <c r="J40" s="105"/>
      <c r="K40" s="105"/>
      <c r="L40" s="161">
        <f>SUM(L1:L39)</f>
        <v>0</v>
      </c>
      <c r="M40" s="105"/>
    </row>
    <row r="41" ht="20.1" customHeight="1" spans="1:7">
      <c r="A41" s="83"/>
      <c r="B41" s="83"/>
      <c r="C41" s="83"/>
      <c r="D41" s="83"/>
      <c r="E41" s="83"/>
      <c r="F41" s="83"/>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4" name="区域2_1_1_3_2_1"/>
  </protectedRanges>
  <autoFilter ref="A2:M40">
    <extLst/>
  </autoFilter>
  <mergeCells count="18">
    <mergeCell ref="A1:M1"/>
    <mergeCell ref="G2:J2"/>
    <mergeCell ref="B5:C5"/>
    <mergeCell ref="B15:C15"/>
    <mergeCell ref="B28:C28"/>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0"/>
  <sheetViews>
    <sheetView view="pageBreakPreview" zoomScaleNormal="100" workbookViewId="0">
      <pane ySplit="4" topLeftCell="A38" activePane="bottomLeft" state="frozen"/>
      <selection/>
      <selection pane="bottomLeft" activeCell="G43" sqref="G43"/>
    </sheetView>
  </sheetViews>
  <sheetFormatPr defaultColWidth="9" defaultRowHeight="14"/>
  <cols>
    <col min="1" max="1" width="5.66363636363636" style="47" customWidth="1"/>
    <col min="2" max="2" width="15.6636363636364" style="47" customWidth="1"/>
    <col min="3" max="3" width="22.6636363636364"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99" t="s">
        <v>351</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s="334" customFormat="1" ht="24" customHeight="1" spans="1:13">
      <c r="A5" s="220" t="s">
        <v>193</v>
      </c>
      <c r="B5" s="221" t="s">
        <v>327</v>
      </c>
      <c r="C5" s="221"/>
      <c r="D5" s="222"/>
      <c r="E5" s="222"/>
      <c r="F5" s="222"/>
      <c r="G5" s="223"/>
      <c r="H5" s="224"/>
      <c r="I5" s="224"/>
      <c r="J5" s="224"/>
      <c r="K5" s="224"/>
      <c r="L5" s="231"/>
      <c r="M5" s="224"/>
    </row>
    <row r="6" s="335" customFormat="1" ht="126" customHeight="1" spans="1:13">
      <c r="A6" s="24">
        <v>1</v>
      </c>
      <c r="B6" s="63" t="s">
        <v>195</v>
      </c>
      <c r="C6" s="63" t="s">
        <v>328</v>
      </c>
      <c r="D6" s="76" t="s">
        <v>197</v>
      </c>
      <c r="E6" s="225" t="s">
        <v>198</v>
      </c>
      <c r="F6" s="106">
        <f>501.86+449.83*4-184.11-51.38*5</f>
        <v>1860.17</v>
      </c>
      <c r="G6" s="29"/>
      <c r="H6" s="29"/>
      <c r="I6" s="42">
        <f>SUM(G6:H6)*$I$4</f>
        <v>0</v>
      </c>
      <c r="J6" s="42">
        <f>SUM(G6:I6)*$J$4</f>
        <v>0</v>
      </c>
      <c r="K6" s="42">
        <f t="shared" ref="K6:K14" si="0">SUM(G6:J6)</f>
        <v>0</v>
      </c>
      <c r="L6" s="42">
        <f t="shared" ref="L6:L14" si="1">F6*K6</f>
        <v>0</v>
      </c>
      <c r="M6" s="29" t="s">
        <v>199</v>
      </c>
    </row>
    <row r="7" s="335" customFormat="1" ht="126" customHeight="1" spans="1:13">
      <c r="A7" s="24">
        <v>2</v>
      </c>
      <c r="B7" s="63" t="s">
        <v>305</v>
      </c>
      <c r="C7" s="63" t="s">
        <v>329</v>
      </c>
      <c r="D7" s="76" t="s">
        <v>330</v>
      </c>
      <c r="E7" s="225" t="s">
        <v>198</v>
      </c>
      <c r="F7" s="106">
        <f>220.53+51.38*5</f>
        <v>477.43</v>
      </c>
      <c r="G7" s="29"/>
      <c r="H7" s="29"/>
      <c r="I7" s="42">
        <f>SUM(G7:H7)*$I$4</f>
        <v>0</v>
      </c>
      <c r="J7" s="42">
        <f>SUM(G7:I7)*$J$4</f>
        <v>0</v>
      </c>
      <c r="K7" s="42">
        <f t="shared" si="0"/>
        <v>0</v>
      </c>
      <c r="L7" s="42">
        <f t="shared" si="1"/>
        <v>0</v>
      </c>
      <c r="M7" s="29" t="s">
        <v>199</v>
      </c>
    </row>
    <row r="8" s="335" customFormat="1" ht="126" customHeight="1" spans="1:13">
      <c r="A8" s="24">
        <v>3</v>
      </c>
      <c r="B8" s="63" t="s">
        <v>195</v>
      </c>
      <c r="C8" s="63" t="s">
        <v>331</v>
      </c>
      <c r="D8" s="76" t="s">
        <v>197</v>
      </c>
      <c r="E8" s="225" t="s">
        <v>198</v>
      </c>
      <c r="F8" s="106">
        <f>33.25*4</f>
        <v>133</v>
      </c>
      <c r="G8" s="29"/>
      <c r="H8" s="29"/>
      <c r="I8" s="42">
        <f>SUM(G8:H8)*$I$4</f>
        <v>0</v>
      </c>
      <c r="J8" s="42">
        <f>SUM(G8:I8)*$J$4</f>
        <v>0</v>
      </c>
      <c r="K8" s="42">
        <f t="shared" si="0"/>
        <v>0</v>
      </c>
      <c r="L8" s="42">
        <f t="shared" si="1"/>
        <v>0</v>
      </c>
      <c r="M8" s="29" t="s">
        <v>199</v>
      </c>
    </row>
    <row r="9" s="335" customFormat="1" ht="126" customHeight="1" spans="1:13">
      <c r="A9" s="24">
        <v>4</v>
      </c>
      <c r="B9" s="63" t="s">
        <v>195</v>
      </c>
      <c r="C9" s="63" t="s">
        <v>332</v>
      </c>
      <c r="D9" s="76" t="s">
        <v>197</v>
      </c>
      <c r="E9" s="225" t="s">
        <v>198</v>
      </c>
      <c r="F9" s="106">
        <f>8.84+8.84*4</f>
        <v>44.2</v>
      </c>
      <c r="G9" s="29"/>
      <c r="H9" s="29"/>
      <c r="I9" s="42">
        <f>SUM(G9:H9)*$I$4</f>
        <v>0</v>
      </c>
      <c r="J9" s="42">
        <f>SUM(G9:I9)*$J$4</f>
        <v>0</v>
      </c>
      <c r="K9" s="42">
        <f t="shared" si="0"/>
        <v>0</v>
      </c>
      <c r="L9" s="42">
        <f t="shared" si="1"/>
        <v>0</v>
      </c>
      <c r="M9" s="29" t="s">
        <v>199</v>
      </c>
    </row>
    <row r="10" s="97" customFormat="1" ht="120" spans="1:13">
      <c r="A10" s="24">
        <v>5</v>
      </c>
      <c r="B10" s="63" t="s">
        <v>195</v>
      </c>
      <c r="C10" s="63" t="s">
        <v>200</v>
      </c>
      <c r="D10" s="76" t="s">
        <v>197</v>
      </c>
      <c r="E10" s="225" t="s">
        <v>198</v>
      </c>
      <c r="F10" s="64">
        <f>(3+1.76)*4+13.5+3</f>
        <v>35.54</v>
      </c>
      <c r="G10" s="29"/>
      <c r="H10" s="29"/>
      <c r="I10" s="42">
        <f>SUM(G10:H10)*$I$4</f>
        <v>0</v>
      </c>
      <c r="J10" s="42">
        <f>SUM(G10:I10)*$J$4</f>
        <v>0</v>
      </c>
      <c r="K10" s="42">
        <f t="shared" si="0"/>
        <v>0</v>
      </c>
      <c r="L10" s="42">
        <f t="shared" si="1"/>
        <v>0</v>
      </c>
      <c r="M10" s="29" t="s">
        <v>199</v>
      </c>
    </row>
    <row r="11" s="335" customFormat="1" ht="96" spans="1:13">
      <c r="A11" s="24">
        <v>7</v>
      </c>
      <c r="B11" s="63" t="s">
        <v>219</v>
      </c>
      <c r="C11" s="63" t="s">
        <v>333</v>
      </c>
      <c r="D11" s="63" t="s">
        <v>197</v>
      </c>
      <c r="E11" s="63" t="s">
        <v>198</v>
      </c>
      <c r="F11" s="106">
        <f>5.33+6.98*3+6.98</f>
        <v>33.25</v>
      </c>
      <c r="G11" s="29"/>
      <c r="H11" s="29"/>
      <c r="I11" s="42">
        <f>SUM(G11:H11)*$I$4</f>
        <v>0</v>
      </c>
      <c r="J11" s="42">
        <f>SUM(G11:I11)*$J$4</f>
        <v>0</v>
      </c>
      <c r="K11" s="42">
        <f t="shared" si="0"/>
        <v>0</v>
      </c>
      <c r="L11" s="42">
        <f t="shared" si="1"/>
        <v>0</v>
      </c>
      <c r="M11" s="29" t="s">
        <v>218</v>
      </c>
    </row>
    <row r="12" s="335" customFormat="1" ht="48" spans="1:13">
      <c r="A12" s="24">
        <v>8</v>
      </c>
      <c r="B12" s="63" t="s">
        <v>208</v>
      </c>
      <c r="C12" s="63" t="s">
        <v>334</v>
      </c>
      <c r="D12" s="63" t="s">
        <v>210</v>
      </c>
      <c r="E12" s="63" t="s">
        <v>211</v>
      </c>
      <c r="F12" s="106">
        <f>969.43+977.61*4-F10</f>
        <v>4844.33</v>
      </c>
      <c r="G12" s="29"/>
      <c r="H12" s="29"/>
      <c r="I12" s="42">
        <f>SUM(G12:H12)*$I$4</f>
        <v>0</v>
      </c>
      <c r="J12" s="42">
        <f>SUM(G12:I12)*$J$4</f>
        <v>0</v>
      </c>
      <c r="K12" s="42">
        <f t="shared" si="0"/>
        <v>0</v>
      </c>
      <c r="L12" s="42">
        <f t="shared" si="1"/>
        <v>0</v>
      </c>
      <c r="M12" s="29" t="s">
        <v>212</v>
      </c>
    </row>
    <row r="13" s="2" customFormat="1" ht="48" spans="1:13">
      <c r="A13" s="24">
        <v>9</v>
      </c>
      <c r="B13" s="63" t="s">
        <v>213</v>
      </c>
      <c r="C13" s="63" t="s">
        <v>335</v>
      </c>
      <c r="D13" s="63" t="s">
        <v>215</v>
      </c>
      <c r="E13" s="63" t="s">
        <v>211</v>
      </c>
      <c r="F13" s="106">
        <f>F12</f>
        <v>4844.33</v>
      </c>
      <c r="G13" s="29"/>
      <c r="H13" s="29"/>
      <c r="I13" s="42">
        <f>SUM(G13:H13)*$I$4</f>
        <v>0</v>
      </c>
      <c r="J13" s="42">
        <f>SUM(G13:I13)*$J$4</f>
        <v>0</v>
      </c>
      <c r="K13" s="42">
        <f t="shared" si="0"/>
        <v>0</v>
      </c>
      <c r="L13" s="42">
        <f t="shared" si="1"/>
        <v>0</v>
      </c>
      <c r="M13" s="29" t="s">
        <v>212</v>
      </c>
    </row>
    <row r="14" s="2" customFormat="1" ht="37.95" customHeight="1" spans="1:13">
      <c r="A14" s="24">
        <v>10</v>
      </c>
      <c r="B14" s="63" t="s">
        <v>221</v>
      </c>
      <c r="C14" s="63" t="s">
        <v>222</v>
      </c>
      <c r="D14" s="63" t="s">
        <v>223</v>
      </c>
      <c r="E14" s="63" t="s">
        <v>178</v>
      </c>
      <c r="F14" s="64">
        <f>(5.2+3.88)*5*0.4</f>
        <v>18.16</v>
      </c>
      <c r="G14" s="29"/>
      <c r="H14" s="29"/>
      <c r="I14" s="42">
        <f>SUM(G14:H14)*$I$4</f>
        <v>0</v>
      </c>
      <c r="J14" s="42">
        <f>SUM(G14:I14)*$J$4</f>
        <v>0</v>
      </c>
      <c r="K14" s="42">
        <f t="shared" si="0"/>
        <v>0</v>
      </c>
      <c r="L14" s="42">
        <f t="shared" si="1"/>
        <v>0</v>
      </c>
      <c r="M14" s="29" t="s">
        <v>224</v>
      </c>
    </row>
    <row r="15" s="336" customFormat="1" ht="24" customHeight="1" spans="1:13">
      <c r="A15" s="220" t="s">
        <v>225</v>
      </c>
      <c r="B15" s="221" t="s">
        <v>336</v>
      </c>
      <c r="C15" s="221"/>
      <c r="D15" s="222"/>
      <c r="E15" s="222"/>
      <c r="F15" s="222"/>
      <c r="G15" s="223"/>
      <c r="H15" s="224"/>
      <c r="I15" s="224"/>
      <c r="J15" s="224"/>
      <c r="K15" s="224"/>
      <c r="L15" s="231"/>
      <c r="M15" s="231"/>
    </row>
    <row r="16" s="2" customFormat="1" ht="85.05" customHeight="1" spans="1:13">
      <c r="A16" s="24">
        <v>1</v>
      </c>
      <c r="B16" s="70" t="s">
        <v>227</v>
      </c>
      <c r="C16" s="70" t="s">
        <v>228</v>
      </c>
      <c r="D16" s="189" t="s">
        <v>229</v>
      </c>
      <c r="E16" s="66" t="s">
        <v>198</v>
      </c>
      <c r="F16" s="106">
        <f>426.9+390.42*4</f>
        <v>1988.58</v>
      </c>
      <c r="G16" s="29"/>
      <c r="H16" s="29"/>
      <c r="I16" s="42">
        <f>SUM(G16:H16)*$I$4</f>
        <v>0</v>
      </c>
      <c r="J16" s="42">
        <f>SUM(G16:I16)*$J$4</f>
        <v>0</v>
      </c>
      <c r="K16" s="42">
        <f t="shared" ref="K16:K27" si="2">SUM(G16:J16)</f>
        <v>0</v>
      </c>
      <c r="L16" s="42">
        <f t="shared" ref="L16:L27" si="3">F16*K16</f>
        <v>0</v>
      </c>
      <c r="M16" s="29" t="s">
        <v>230</v>
      </c>
    </row>
    <row r="17" s="2" customFormat="1" ht="96" spans="1:13">
      <c r="A17" s="24">
        <v>2</v>
      </c>
      <c r="B17" s="70" t="s">
        <v>231</v>
      </c>
      <c r="C17" s="70" t="s">
        <v>232</v>
      </c>
      <c r="D17" s="167" t="s">
        <v>233</v>
      </c>
      <c r="E17" s="66" t="s">
        <v>198</v>
      </c>
      <c r="F17" s="106">
        <f>479.52+444.09*4</f>
        <v>2255.88</v>
      </c>
      <c r="G17" s="29"/>
      <c r="H17" s="29"/>
      <c r="I17" s="42">
        <f>SUM(G17:H17)*$I$4</f>
        <v>0</v>
      </c>
      <c r="J17" s="42">
        <f>SUM(G17:I17)*$J$4</f>
        <v>0</v>
      </c>
      <c r="K17" s="42">
        <f t="shared" si="2"/>
        <v>0</v>
      </c>
      <c r="L17" s="42">
        <f t="shared" si="3"/>
        <v>0</v>
      </c>
      <c r="M17" s="29" t="s">
        <v>234</v>
      </c>
    </row>
    <row r="18" s="97" customFormat="1" ht="108" spans="1:13">
      <c r="A18" s="24">
        <v>3</v>
      </c>
      <c r="B18" s="70" t="s">
        <v>338</v>
      </c>
      <c r="C18" s="70" t="s">
        <v>339</v>
      </c>
      <c r="D18" s="167" t="s">
        <v>233</v>
      </c>
      <c r="E18" s="66" t="s">
        <v>198</v>
      </c>
      <c r="F18" s="106">
        <f>213.48+357.72*4</f>
        <v>1644.36</v>
      </c>
      <c r="G18" s="29"/>
      <c r="H18" s="29"/>
      <c r="I18" s="42">
        <f>SUM(G18:H18)*$I$4</f>
        <v>0</v>
      </c>
      <c r="J18" s="42">
        <f>SUM(G18:I18)*$J$4</f>
        <v>0</v>
      </c>
      <c r="K18" s="42">
        <f t="shared" si="2"/>
        <v>0</v>
      </c>
      <c r="L18" s="42">
        <f t="shared" si="3"/>
        <v>0</v>
      </c>
      <c r="M18" s="29" t="s">
        <v>352</v>
      </c>
    </row>
    <row r="19" s="2" customFormat="1" ht="72" spans="1:13">
      <c r="A19" s="24">
        <v>4</v>
      </c>
      <c r="B19" s="70" t="s">
        <v>235</v>
      </c>
      <c r="C19" s="70" t="s">
        <v>353</v>
      </c>
      <c r="D19" s="189" t="s">
        <v>229</v>
      </c>
      <c r="E19" s="66" t="s">
        <v>198</v>
      </c>
      <c r="F19" s="106">
        <f>60.495+61.88*3+62.44</f>
        <v>308.575</v>
      </c>
      <c r="G19" s="29"/>
      <c r="H19" s="29"/>
      <c r="I19" s="42">
        <f>SUM(G19:H19)*$I$4</f>
        <v>0</v>
      </c>
      <c r="J19" s="42">
        <f>SUM(G19:I19)*$J$4</f>
        <v>0</v>
      </c>
      <c r="K19" s="42">
        <f t="shared" si="2"/>
        <v>0</v>
      </c>
      <c r="L19" s="42">
        <f t="shared" si="3"/>
        <v>0</v>
      </c>
      <c r="M19" s="29" t="s">
        <v>230</v>
      </c>
    </row>
    <row r="20" s="2" customFormat="1" ht="108" spans="1:13">
      <c r="A20" s="24">
        <v>5</v>
      </c>
      <c r="B20" s="113" t="s">
        <v>237</v>
      </c>
      <c r="C20" s="114" t="s">
        <v>238</v>
      </c>
      <c r="D20" s="167" t="s">
        <v>233</v>
      </c>
      <c r="E20" s="116" t="s">
        <v>211</v>
      </c>
      <c r="F20" s="64">
        <f>60.495*1.05+61.88*3*1.05+65.43</f>
        <v>323.87175</v>
      </c>
      <c r="G20" s="29"/>
      <c r="H20" s="29"/>
      <c r="I20" s="42">
        <f>SUM(G20:H20)*$I$4</f>
        <v>0</v>
      </c>
      <c r="J20" s="42">
        <f>SUM(G20:I20)*$J$4</f>
        <v>0</v>
      </c>
      <c r="K20" s="42">
        <f t="shared" si="2"/>
        <v>0</v>
      </c>
      <c r="L20" s="42">
        <f t="shared" si="3"/>
        <v>0</v>
      </c>
      <c r="M20" s="29" t="s">
        <v>230</v>
      </c>
    </row>
    <row r="21" s="97" customFormat="1" ht="144" spans="1:13">
      <c r="A21" s="24">
        <v>6</v>
      </c>
      <c r="B21" s="186" t="s">
        <v>341</v>
      </c>
      <c r="C21" s="187" t="s">
        <v>240</v>
      </c>
      <c r="D21" s="188" t="s">
        <v>233</v>
      </c>
      <c r="E21" s="127" t="s">
        <v>211</v>
      </c>
      <c r="F21" s="64">
        <f>742.03*1.05+640.53*4*1.05</f>
        <v>3469.3575</v>
      </c>
      <c r="G21" s="29"/>
      <c r="H21" s="29"/>
      <c r="I21" s="42">
        <f>SUM(G21:H21)*$I$4</f>
        <v>0</v>
      </c>
      <c r="J21" s="42">
        <f>SUM(G21:I21)*$J$4</f>
        <v>0</v>
      </c>
      <c r="K21" s="42">
        <f t="shared" si="2"/>
        <v>0</v>
      </c>
      <c r="L21" s="42">
        <f t="shared" si="3"/>
        <v>0</v>
      </c>
      <c r="M21" s="29" t="s">
        <v>354</v>
      </c>
    </row>
    <row r="22" s="2" customFormat="1" ht="144" spans="1:13">
      <c r="A22" s="24">
        <v>7</v>
      </c>
      <c r="B22" s="186" t="s">
        <v>239</v>
      </c>
      <c r="C22" s="187" t="s">
        <v>240</v>
      </c>
      <c r="D22" s="188" t="s">
        <v>233</v>
      </c>
      <c r="E22" s="127" t="s">
        <v>211</v>
      </c>
      <c r="F22" s="106">
        <f>74.47+88.96*4</f>
        <v>430.31</v>
      </c>
      <c r="G22" s="29"/>
      <c r="H22" s="29"/>
      <c r="I22" s="42">
        <f>SUM(G22:H22)*$I$4</f>
        <v>0</v>
      </c>
      <c r="J22" s="42">
        <f>SUM(G22:I22)*$J$4</f>
        <v>0</v>
      </c>
      <c r="K22" s="42">
        <f t="shared" si="2"/>
        <v>0</v>
      </c>
      <c r="L22" s="42">
        <f t="shared" si="3"/>
        <v>0</v>
      </c>
      <c r="M22" s="29" t="s">
        <v>234</v>
      </c>
    </row>
    <row r="23" s="97" customFormat="1" ht="180" spans="1:13">
      <c r="A23" s="24">
        <v>8</v>
      </c>
      <c r="B23" s="186" t="s">
        <v>343</v>
      </c>
      <c r="C23" s="187" t="s">
        <v>355</v>
      </c>
      <c r="D23" s="188" t="s">
        <v>233</v>
      </c>
      <c r="E23" s="66" t="s">
        <v>198</v>
      </c>
      <c r="F23" s="106">
        <f>948.17*1.1</f>
        <v>1042.987</v>
      </c>
      <c r="G23" s="29"/>
      <c r="H23" s="29"/>
      <c r="I23" s="42">
        <f>SUM(G23:H23)*$I$4</f>
        <v>0</v>
      </c>
      <c r="J23" s="42">
        <f>SUM(G23:I23)*$J$4</f>
        <v>0</v>
      </c>
      <c r="K23" s="42">
        <f t="shared" si="2"/>
        <v>0</v>
      </c>
      <c r="L23" s="42">
        <f t="shared" si="3"/>
        <v>0</v>
      </c>
      <c r="M23" s="29" t="s">
        <v>354</v>
      </c>
    </row>
    <row r="24" s="2" customFormat="1" ht="72" spans="1:13">
      <c r="A24" s="24">
        <v>9</v>
      </c>
      <c r="B24" s="167" t="s">
        <v>241</v>
      </c>
      <c r="C24" s="167" t="s">
        <v>242</v>
      </c>
      <c r="D24" s="167" t="s">
        <v>197</v>
      </c>
      <c r="E24" s="66" t="s">
        <v>198</v>
      </c>
      <c r="F24" s="106">
        <f>149.25+199.73*4</f>
        <v>948.17</v>
      </c>
      <c r="G24" s="29"/>
      <c r="H24" s="29"/>
      <c r="I24" s="42">
        <f>SUM(G24:H24)*$I$4</f>
        <v>0</v>
      </c>
      <c r="J24" s="42">
        <f>SUM(G24:I24)*$J$4</f>
        <v>0</v>
      </c>
      <c r="K24" s="42">
        <f t="shared" si="2"/>
        <v>0</v>
      </c>
      <c r="L24" s="42">
        <f t="shared" si="3"/>
        <v>0</v>
      </c>
      <c r="M24" s="29" t="s">
        <v>243</v>
      </c>
    </row>
    <row r="25" s="2" customFormat="1" ht="72" spans="1:13">
      <c r="A25" s="24">
        <v>10</v>
      </c>
      <c r="B25" s="70" t="s">
        <v>313</v>
      </c>
      <c r="C25" s="70" t="s">
        <v>314</v>
      </c>
      <c r="D25" s="189" t="s">
        <v>229</v>
      </c>
      <c r="E25" s="66" t="s">
        <v>198</v>
      </c>
      <c r="F25" s="106">
        <f>30.5*4</f>
        <v>122</v>
      </c>
      <c r="G25" s="29"/>
      <c r="H25" s="29"/>
      <c r="I25" s="42">
        <f>SUM(G25:H25)*$I$4</f>
        <v>0</v>
      </c>
      <c r="J25" s="42">
        <f>SUM(G25:I25)*$J$4</f>
        <v>0</v>
      </c>
      <c r="K25" s="42">
        <f t="shared" si="2"/>
        <v>0</v>
      </c>
      <c r="L25" s="42">
        <f t="shared" si="3"/>
        <v>0</v>
      </c>
      <c r="M25" s="29" t="s">
        <v>315</v>
      </c>
    </row>
    <row r="26" s="2" customFormat="1" ht="72" spans="1:13">
      <c r="A26" s="24">
        <v>12</v>
      </c>
      <c r="B26" s="113" t="s">
        <v>247</v>
      </c>
      <c r="C26" s="71" t="s">
        <v>248</v>
      </c>
      <c r="D26" s="196" t="s">
        <v>249</v>
      </c>
      <c r="E26" s="116" t="s">
        <v>175</v>
      </c>
      <c r="F26" s="106">
        <f>24.5/0.2+34.7/0.2*4</f>
        <v>816.5</v>
      </c>
      <c r="G26" s="29"/>
      <c r="H26" s="29"/>
      <c r="I26" s="42">
        <f>SUM(G26:H26)*$I$4</f>
        <v>0</v>
      </c>
      <c r="J26" s="42">
        <f>SUM(G26:I26)*$J$4</f>
        <v>0</v>
      </c>
      <c r="K26" s="42">
        <f t="shared" si="2"/>
        <v>0</v>
      </c>
      <c r="L26" s="42">
        <f t="shared" si="3"/>
        <v>0</v>
      </c>
      <c r="M26" s="29" t="s">
        <v>250</v>
      </c>
    </row>
    <row r="27" s="2" customFormat="1" ht="72" spans="1:13">
      <c r="A27" s="24">
        <v>13</v>
      </c>
      <c r="B27" s="113" t="s">
        <v>251</v>
      </c>
      <c r="C27" s="72" t="s">
        <v>252</v>
      </c>
      <c r="D27" s="196" t="s">
        <v>249</v>
      </c>
      <c r="E27" s="116" t="s">
        <v>175</v>
      </c>
      <c r="F27" s="106">
        <f>73.33+13.49*4</f>
        <v>127.29</v>
      </c>
      <c r="G27" s="29"/>
      <c r="H27" s="29"/>
      <c r="I27" s="42">
        <f>SUM(G27:H27)*$I$4</f>
        <v>0</v>
      </c>
      <c r="J27" s="42">
        <f>SUM(G27:I27)*$J$4</f>
        <v>0</v>
      </c>
      <c r="K27" s="42">
        <f t="shared" si="2"/>
        <v>0</v>
      </c>
      <c r="L27" s="42">
        <f t="shared" si="3"/>
        <v>0</v>
      </c>
      <c r="M27" s="29" t="s">
        <v>253</v>
      </c>
    </row>
    <row r="28" s="336" customFormat="1" ht="24" customHeight="1" spans="1:13">
      <c r="A28" s="220" t="s">
        <v>254</v>
      </c>
      <c r="B28" s="221" t="s">
        <v>345</v>
      </c>
      <c r="C28" s="221"/>
      <c r="D28" s="222"/>
      <c r="E28" s="222"/>
      <c r="F28" s="222"/>
      <c r="G28" s="223"/>
      <c r="H28" s="224"/>
      <c r="I28" s="224"/>
      <c r="J28" s="224"/>
      <c r="K28" s="224"/>
      <c r="L28" s="231"/>
      <c r="M28" s="231"/>
    </row>
    <row r="29" s="2" customFormat="1" ht="84" spans="1:13">
      <c r="A29" s="24">
        <v>1</v>
      </c>
      <c r="B29" s="25" t="s">
        <v>256</v>
      </c>
      <c r="C29" s="118" t="s">
        <v>257</v>
      </c>
      <c r="D29" s="76" t="s">
        <v>197</v>
      </c>
      <c r="E29" s="66" t="s">
        <v>198</v>
      </c>
      <c r="F29" s="119">
        <f>827.14+1181.75*4</f>
        <v>5554.14</v>
      </c>
      <c r="G29" s="29"/>
      <c r="H29" s="29"/>
      <c r="I29" s="42">
        <f>SUM(G29:H29)*$I$4</f>
        <v>0</v>
      </c>
      <c r="J29" s="42">
        <f>SUM(G29:I29)*$J$4</f>
        <v>0</v>
      </c>
      <c r="K29" s="42">
        <f t="shared" ref="K29:K35" si="4">SUM(G29:J29)</f>
        <v>0</v>
      </c>
      <c r="L29" s="42">
        <f t="shared" ref="L29:L35" si="5">F29*K29</f>
        <v>0</v>
      </c>
      <c r="M29" s="29" t="s">
        <v>258</v>
      </c>
    </row>
    <row r="30" s="2" customFormat="1" ht="120" spans="1:13">
      <c r="A30" s="24">
        <v>2</v>
      </c>
      <c r="B30" s="25" t="s">
        <v>259</v>
      </c>
      <c r="C30" s="63" t="s">
        <v>322</v>
      </c>
      <c r="D30" s="76" t="s">
        <v>197</v>
      </c>
      <c r="E30" s="66" t="s">
        <v>198</v>
      </c>
      <c r="F30" s="119">
        <f>417.68+464.6*4</f>
        <v>2276.08</v>
      </c>
      <c r="G30" s="29"/>
      <c r="H30" s="29"/>
      <c r="I30" s="42">
        <f>SUM(G30:H30)*$I$4</f>
        <v>0</v>
      </c>
      <c r="J30" s="42">
        <f>SUM(G30:I30)*$J$4</f>
        <v>0</v>
      </c>
      <c r="K30" s="42">
        <f t="shared" si="4"/>
        <v>0</v>
      </c>
      <c r="L30" s="42">
        <f t="shared" si="5"/>
        <v>0</v>
      </c>
      <c r="M30" s="29" t="s">
        <v>261</v>
      </c>
    </row>
    <row r="31" s="3" customFormat="1" ht="108" spans="1:13">
      <c r="A31" s="24">
        <v>3</v>
      </c>
      <c r="B31" s="308" t="s">
        <v>262</v>
      </c>
      <c r="C31" s="309" t="s">
        <v>263</v>
      </c>
      <c r="D31" s="188" t="s">
        <v>264</v>
      </c>
      <c r="E31" s="310" t="s">
        <v>265</v>
      </c>
      <c r="F31" s="119">
        <f>6+5*4</f>
        <v>26</v>
      </c>
      <c r="G31" s="29"/>
      <c r="H31" s="29"/>
      <c r="I31" s="42">
        <f>SUM(G31:H31)*$I$4</f>
        <v>0</v>
      </c>
      <c r="J31" s="42">
        <f>SUM(G31:I31)*$J$4</f>
        <v>0</v>
      </c>
      <c r="K31" s="42">
        <f t="shared" si="4"/>
        <v>0</v>
      </c>
      <c r="L31" s="42">
        <f t="shared" si="5"/>
        <v>0</v>
      </c>
      <c r="M31" s="29" t="s">
        <v>266</v>
      </c>
    </row>
    <row r="32" s="3" customFormat="1" ht="48" spans="1:13">
      <c r="A32" s="24">
        <v>6</v>
      </c>
      <c r="B32" s="271" t="s">
        <v>267</v>
      </c>
      <c r="C32" s="272" t="s">
        <v>268</v>
      </c>
      <c r="D32" s="212" t="s">
        <v>269</v>
      </c>
      <c r="E32" s="213" t="s">
        <v>211</v>
      </c>
      <c r="F32" s="119">
        <v>89.65</v>
      </c>
      <c r="G32" s="29"/>
      <c r="H32" s="29"/>
      <c r="I32" s="42">
        <f>SUM(G32:H32)*$I$4</f>
        <v>0</v>
      </c>
      <c r="J32" s="42">
        <f>SUM(G32:I32)*$J$4</f>
        <v>0</v>
      </c>
      <c r="K32" s="42">
        <f t="shared" si="4"/>
        <v>0</v>
      </c>
      <c r="L32" s="42">
        <f t="shared" si="5"/>
        <v>0</v>
      </c>
      <c r="M32" s="29" t="s">
        <v>270</v>
      </c>
    </row>
    <row r="33" s="2" customFormat="1" ht="72" spans="1:13">
      <c r="A33" s="24">
        <v>8</v>
      </c>
      <c r="B33" s="128" t="s">
        <v>271</v>
      </c>
      <c r="C33" s="129" t="s">
        <v>346</v>
      </c>
      <c r="D33" s="248" t="s">
        <v>273</v>
      </c>
      <c r="E33" s="131" t="s">
        <v>175</v>
      </c>
      <c r="F33" s="119">
        <f>49.85+45.74*4</f>
        <v>232.81</v>
      </c>
      <c r="G33" s="29"/>
      <c r="H33" s="29"/>
      <c r="I33" s="42">
        <f>SUM(G33:H33)*$I$4</f>
        <v>0</v>
      </c>
      <c r="J33" s="42">
        <f>SUM(G33:I33)*$J$4</f>
        <v>0</v>
      </c>
      <c r="K33" s="42">
        <f t="shared" si="4"/>
        <v>0</v>
      </c>
      <c r="L33" s="42">
        <f t="shared" si="5"/>
        <v>0</v>
      </c>
      <c r="M33" s="29" t="s">
        <v>274</v>
      </c>
    </row>
    <row r="34" s="2" customFormat="1" ht="48" spans="1:13">
      <c r="A34" s="24">
        <v>9</v>
      </c>
      <c r="B34" s="128" t="s">
        <v>347</v>
      </c>
      <c r="C34" s="129" t="s">
        <v>348</v>
      </c>
      <c r="D34" s="248" t="s">
        <v>349</v>
      </c>
      <c r="E34" s="131" t="s">
        <v>198</v>
      </c>
      <c r="F34" s="119">
        <f>0.73*4.1+1.5*4.1*4</f>
        <v>27.593</v>
      </c>
      <c r="G34" s="29"/>
      <c r="H34" s="29"/>
      <c r="I34" s="42">
        <f>SUM(G34:H34)*$I$4</f>
        <v>0</v>
      </c>
      <c r="J34" s="42">
        <f>SUM(G34:I34)*$J$4</f>
        <v>0</v>
      </c>
      <c r="K34" s="42">
        <f t="shared" si="4"/>
        <v>0</v>
      </c>
      <c r="L34" s="42">
        <f t="shared" si="5"/>
        <v>0</v>
      </c>
      <c r="M34" s="29" t="s">
        <v>350</v>
      </c>
    </row>
    <row r="35" s="3" customFormat="1" ht="36" spans="1:13">
      <c r="A35" s="24">
        <v>16</v>
      </c>
      <c r="B35" s="337" t="s">
        <v>290</v>
      </c>
      <c r="C35" s="187" t="s">
        <v>291</v>
      </c>
      <c r="D35" s="272" t="s">
        <v>292</v>
      </c>
      <c r="E35" s="338" t="s">
        <v>138</v>
      </c>
      <c r="F35" s="206">
        <f>50</f>
        <v>50</v>
      </c>
      <c r="G35" s="29"/>
      <c r="H35" s="29"/>
      <c r="I35" s="42">
        <f>SUM(G35:H35)*$I$4</f>
        <v>0</v>
      </c>
      <c r="J35" s="42">
        <f>SUM(G35:I35)*$J$4</f>
        <v>0</v>
      </c>
      <c r="K35" s="42">
        <f t="shared" si="4"/>
        <v>0</v>
      </c>
      <c r="L35" s="42">
        <f t="shared" si="5"/>
        <v>0</v>
      </c>
      <c r="M35" s="29"/>
    </row>
    <row r="36" s="334" customFormat="1" ht="28.05" customHeight="1" spans="1:13">
      <c r="A36" s="223" t="s">
        <v>293</v>
      </c>
      <c r="B36" s="221" t="s">
        <v>294</v>
      </c>
      <c r="C36" s="221"/>
      <c r="D36" s="222"/>
      <c r="E36" s="222"/>
      <c r="F36" s="222"/>
      <c r="G36" s="223"/>
      <c r="H36" s="224"/>
      <c r="I36" s="224"/>
      <c r="J36" s="224"/>
      <c r="K36" s="224"/>
      <c r="L36" s="231"/>
      <c r="M36" s="231"/>
    </row>
    <row r="37" s="3" customFormat="1" ht="25.95" customHeight="1" spans="1:13">
      <c r="A37" s="24">
        <v>2</v>
      </c>
      <c r="B37" s="27" t="s">
        <v>295</v>
      </c>
      <c r="C37" s="27" t="s">
        <v>296</v>
      </c>
      <c r="D37" s="27" t="s">
        <v>297</v>
      </c>
      <c r="E37" s="66" t="s">
        <v>198</v>
      </c>
      <c r="F37" s="119">
        <v>7396.59</v>
      </c>
      <c r="G37" s="29"/>
      <c r="H37" s="29"/>
      <c r="I37" s="42">
        <f>SUM(G37:H37)*$I$4</f>
        <v>0</v>
      </c>
      <c r="J37" s="42">
        <f>SUM(G37:I37)*$J$4</f>
        <v>0</v>
      </c>
      <c r="K37" s="42">
        <f>SUM(G37:J37)</f>
        <v>0</v>
      </c>
      <c r="L37" s="42">
        <f>F37*K37</f>
        <v>0</v>
      </c>
      <c r="M37" s="29" t="s">
        <v>298</v>
      </c>
    </row>
    <row r="38" s="3" customFormat="1" ht="25.95" customHeight="1" spans="1:13">
      <c r="A38" s="24">
        <v>3</v>
      </c>
      <c r="B38" s="27" t="s">
        <v>299</v>
      </c>
      <c r="C38" s="27" t="s">
        <v>300</v>
      </c>
      <c r="D38" s="27" t="s">
        <v>297</v>
      </c>
      <c r="E38" s="66" t="s">
        <v>198</v>
      </c>
      <c r="F38" s="119">
        <v>7396.59</v>
      </c>
      <c r="G38" s="29"/>
      <c r="H38" s="29"/>
      <c r="I38" s="42">
        <f>SUM(G38:H38)*$I$4</f>
        <v>0</v>
      </c>
      <c r="J38" s="42">
        <f>SUM(G38:I38)*$J$4</f>
        <v>0</v>
      </c>
      <c r="K38" s="42">
        <f>SUM(G38:J38)</f>
        <v>0</v>
      </c>
      <c r="L38" s="42">
        <f>F38*K38</f>
        <v>0</v>
      </c>
      <c r="M38" s="29" t="s">
        <v>301</v>
      </c>
    </row>
    <row r="39" s="3" customFormat="1" ht="25.95" customHeight="1" spans="1:13">
      <c r="A39" s="24">
        <v>4</v>
      </c>
      <c r="B39" s="27" t="s">
        <v>302</v>
      </c>
      <c r="C39" s="27" t="s">
        <v>302</v>
      </c>
      <c r="D39" s="27" t="s">
        <v>297</v>
      </c>
      <c r="E39" s="66" t="s">
        <v>198</v>
      </c>
      <c r="F39" s="119">
        <v>7396.59</v>
      </c>
      <c r="G39" s="29"/>
      <c r="H39" s="29"/>
      <c r="I39" s="42">
        <f>SUM(G39:H39)*$I$4</f>
        <v>0</v>
      </c>
      <c r="J39" s="42">
        <f>SUM(G39:I39)*$J$4</f>
        <v>0</v>
      </c>
      <c r="K39" s="42">
        <f>SUM(G39:J39)</f>
        <v>0</v>
      </c>
      <c r="L39" s="42">
        <f>F39*K39</f>
        <v>0</v>
      </c>
      <c r="M39" s="29" t="s">
        <v>303</v>
      </c>
    </row>
    <row r="40" ht="24.9" customHeight="1" spans="1:13">
      <c r="A40" s="24"/>
      <c r="B40" s="152" t="s">
        <v>63</v>
      </c>
      <c r="C40" s="152"/>
      <c r="D40" s="104"/>
      <c r="E40" s="104"/>
      <c r="F40" s="104"/>
      <c r="G40" s="66"/>
      <c r="H40" s="105"/>
      <c r="I40" s="105"/>
      <c r="J40" s="105"/>
      <c r="K40" s="105"/>
      <c r="L40" s="161">
        <f>SUM(L1:L39)</f>
        <v>0</v>
      </c>
      <c r="M40" s="105"/>
    </row>
    <row r="41" ht="20.1" customHeight="1" spans="1:7">
      <c r="A41" s="83"/>
      <c r="B41" s="83"/>
      <c r="C41" s="83"/>
      <c r="D41" s="83"/>
      <c r="E41" s="83"/>
      <c r="F41" s="83"/>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4" name="区域2_1_1_3_2_1"/>
  </protectedRanges>
  <autoFilter ref="A2:M60">
    <extLst/>
  </autoFilter>
  <mergeCells count="18">
    <mergeCell ref="A1:M1"/>
    <mergeCell ref="G2:J2"/>
    <mergeCell ref="B5:C5"/>
    <mergeCell ref="B15:C15"/>
    <mergeCell ref="B28:C28"/>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60"/>
  <sheetViews>
    <sheetView view="pageBreakPreview" zoomScaleNormal="100" workbookViewId="0">
      <pane ySplit="4" topLeftCell="A38" activePane="bottomLeft" state="frozen"/>
      <selection/>
      <selection pane="bottomLeft" activeCell="I6" sqref="I6"/>
    </sheetView>
  </sheetViews>
  <sheetFormatPr defaultColWidth="9" defaultRowHeight="14"/>
  <cols>
    <col min="1" max="1" width="5.66363636363636" style="47" customWidth="1"/>
    <col min="2" max="2" width="15.6636363636364" style="47" customWidth="1"/>
    <col min="3" max="3" width="24.6636363636364" style="47" customWidth="1"/>
    <col min="4" max="4" width="20.6636363636364" style="47" customWidth="1"/>
    <col min="5" max="5" width="5.66363636363636" style="47" customWidth="1"/>
    <col min="6" max="7" width="10.6636363636364" style="47" customWidth="1"/>
    <col min="8" max="12" width="10.6636363636364" style="50" customWidth="1"/>
    <col min="13" max="13" width="12.6636363636364" style="50" customWidth="1"/>
    <col min="14" max="16384" width="9" style="50"/>
  </cols>
  <sheetData>
    <row r="1" s="46" customFormat="1" ht="30" customHeight="1" spans="1:13">
      <c r="A1" s="99" t="s">
        <v>356</v>
      </c>
      <c r="B1" s="99"/>
      <c r="C1" s="99"/>
      <c r="D1" s="99"/>
      <c r="E1" s="99"/>
      <c r="F1" s="99"/>
      <c r="G1" s="99"/>
      <c r="H1" s="99"/>
      <c r="I1" s="99"/>
      <c r="J1" s="99"/>
      <c r="K1" s="99"/>
      <c r="L1" s="99"/>
      <c r="M1" s="99"/>
    </row>
    <row r="2" ht="20.1" customHeight="1" spans="1:13">
      <c r="A2" s="100" t="s">
        <v>97</v>
      </c>
      <c r="B2" s="100" t="s">
        <v>182</v>
      </c>
      <c r="C2" s="100" t="s">
        <v>183</v>
      </c>
      <c r="D2" s="100" t="s">
        <v>184</v>
      </c>
      <c r="E2" s="100" t="s">
        <v>125</v>
      </c>
      <c r="F2" s="100" t="s">
        <v>185</v>
      </c>
      <c r="G2" s="100" t="s">
        <v>186</v>
      </c>
      <c r="H2" s="101"/>
      <c r="I2" s="100"/>
      <c r="J2" s="153"/>
      <c r="K2" s="153" t="s">
        <v>187</v>
      </c>
      <c r="L2" s="153" t="s">
        <v>188</v>
      </c>
      <c r="M2" s="100" t="s">
        <v>43</v>
      </c>
    </row>
    <row r="3" ht="20.1" customHeight="1" spans="1:13">
      <c r="A3" s="100"/>
      <c r="B3" s="100"/>
      <c r="C3" s="100"/>
      <c r="D3" s="100"/>
      <c r="E3" s="100"/>
      <c r="F3" s="100"/>
      <c r="G3" s="100" t="s">
        <v>189</v>
      </c>
      <c r="H3" s="100" t="s">
        <v>190</v>
      </c>
      <c r="I3" s="153" t="s">
        <v>191</v>
      </c>
      <c r="J3" s="153" t="s">
        <v>192</v>
      </c>
      <c r="K3" s="153"/>
      <c r="L3" s="153"/>
      <c r="M3" s="100"/>
    </row>
    <row r="4" ht="20.1" customHeight="1" spans="1:13">
      <c r="A4" s="100"/>
      <c r="B4" s="100"/>
      <c r="C4" s="100"/>
      <c r="D4" s="100"/>
      <c r="E4" s="100"/>
      <c r="F4" s="100"/>
      <c r="G4" s="100"/>
      <c r="H4" s="100"/>
      <c r="I4" s="101"/>
      <c r="J4" s="101"/>
      <c r="K4" s="153"/>
      <c r="L4" s="153"/>
      <c r="M4" s="100"/>
    </row>
    <row r="5" s="334" customFormat="1" ht="30" customHeight="1" spans="1:13">
      <c r="A5" s="220" t="s">
        <v>193</v>
      </c>
      <c r="B5" s="221" t="s">
        <v>327</v>
      </c>
      <c r="C5" s="221"/>
      <c r="D5" s="222"/>
      <c r="E5" s="222"/>
      <c r="F5" s="222"/>
      <c r="G5" s="223"/>
      <c r="H5" s="224"/>
      <c r="I5" s="224"/>
      <c r="J5" s="224"/>
      <c r="K5" s="224"/>
      <c r="L5" s="231"/>
      <c r="M5" s="224"/>
    </row>
    <row r="6" s="335" customFormat="1" ht="126" customHeight="1" spans="1:13">
      <c r="A6" s="24">
        <v>1</v>
      </c>
      <c r="B6" s="63" t="s">
        <v>195</v>
      </c>
      <c r="C6" s="63" t="s">
        <v>328</v>
      </c>
      <c r="D6" s="76" t="s">
        <v>197</v>
      </c>
      <c r="E6" s="225" t="s">
        <v>198</v>
      </c>
      <c r="F6" s="106">
        <f>1724.71-F7</f>
        <v>1374.86</v>
      </c>
      <c r="G6" s="29"/>
      <c r="H6" s="29"/>
      <c r="I6" s="42">
        <f>SUM(G6:H6)*$I$4</f>
        <v>0</v>
      </c>
      <c r="J6" s="42">
        <f>SUM(G6:I6)*$J$4</f>
        <v>0</v>
      </c>
      <c r="K6" s="42">
        <f t="shared" ref="K6:K14" si="0">SUM(G6:J6)</f>
        <v>0</v>
      </c>
      <c r="L6" s="42">
        <f t="shared" ref="L6:L14" si="1">F6*K6</f>
        <v>0</v>
      </c>
      <c r="M6" s="29" t="s">
        <v>199</v>
      </c>
    </row>
    <row r="7" s="335" customFormat="1" ht="126" customHeight="1" spans="1:13">
      <c r="A7" s="24">
        <v>2</v>
      </c>
      <c r="B7" s="63" t="s">
        <v>305</v>
      </c>
      <c r="C7" s="63" t="s">
        <v>329</v>
      </c>
      <c r="D7" s="76" t="s">
        <v>330</v>
      </c>
      <c r="E7" s="225" t="s">
        <v>198</v>
      </c>
      <c r="F7" s="106">
        <v>349.85</v>
      </c>
      <c r="G7" s="29"/>
      <c r="H7" s="29"/>
      <c r="I7" s="42">
        <f>SUM(G7:H7)*$I$4</f>
        <v>0</v>
      </c>
      <c r="J7" s="42">
        <f>SUM(G7:I7)*$J$4</f>
        <v>0</v>
      </c>
      <c r="K7" s="42">
        <f t="shared" si="0"/>
        <v>0</v>
      </c>
      <c r="L7" s="42">
        <f t="shared" si="1"/>
        <v>0</v>
      </c>
      <c r="M7" s="29" t="s">
        <v>199</v>
      </c>
    </row>
    <row r="8" s="335" customFormat="1" ht="126" customHeight="1" spans="1:13">
      <c r="A8" s="24">
        <v>3</v>
      </c>
      <c r="B8" s="63" t="s">
        <v>195</v>
      </c>
      <c r="C8" s="63" t="s">
        <v>331</v>
      </c>
      <c r="D8" s="76" t="s">
        <v>197</v>
      </c>
      <c r="E8" s="225" t="s">
        <v>198</v>
      </c>
      <c r="F8" s="106">
        <v>910.35</v>
      </c>
      <c r="G8" s="29"/>
      <c r="H8" s="29"/>
      <c r="I8" s="42">
        <f>SUM(G8:H8)*$I$4</f>
        <v>0</v>
      </c>
      <c r="J8" s="42">
        <f>SUM(G8:I8)*$J$4</f>
        <v>0</v>
      </c>
      <c r="K8" s="42">
        <f t="shared" si="0"/>
        <v>0</v>
      </c>
      <c r="L8" s="42">
        <f t="shared" si="1"/>
        <v>0</v>
      </c>
      <c r="M8" s="29" t="s">
        <v>199</v>
      </c>
    </row>
    <row r="9" s="335" customFormat="1" ht="126" customHeight="1" spans="1:13">
      <c r="A9" s="24">
        <v>4</v>
      </c>
      <c r="B9" s="63" t="s">
        <v>195</v>
      </c>
      <c r="C9" s="63" t="s">
        <v>332</v>
      </c>
      <c r="D9" s="76" t="s">
        <v>197</v>
      </c>
      <c r="E9" s="225" t="s">
        <v>198</v>
      </c>
      <c r="F9" s="106">
        <v>44.2</v>
      </c>
      <c r="G9" s="29"/>
      <c r="H9" s="29"/>
      <c r="I9" s="42">
        <f>SUM(G9:H9)*$I$4</f>
        <v>0</v>
      </c>
      <c r="J9" s="42">
        <f>SUM(G9:I9)*$J$4</f>
        <v>0</v>
      </c>
      <c r="K9" s="42">
        <f t="shared" si="0"/>
        <v>0</v>
      </c>
      <c r="L9" s="42">
        <f t="shared" si="1"/>
        <v>0</v>
      </c>
      <c r="M9" s="29" t="s">
        <v>199</v>
      </c>
    </row>
    <row r="10" s="97" customFormat="1" ht="120" spans="1:13">
      <c r="A10" s="24">
        <v>5</v>
      </c>
      <c r="B10" s="63" t="s">
        <v>195</v>
      </c>
      <c r="C10" s="63" t="s">
        <v>200</v>
      </c>
      <c r="D10" s="76" t="s">
        <v>197</v>
      </c>
      <c r="E10" s="225" t="s">
        <v>198</v>
      </c>
      <c r="F10" s="64">
        <f>(3+1.76)*4+13.5+3</f>
        <v>35.54</v>
      </c>
      <c r="G10" s="29"/>
      <c r="H10" s="29"/>
      <c r="I10" s="42">
        <f>SUM(G10:H10)*$I$4</f>
        <v>0</v>
      </c>
      <c r="J10" s="42">
        <f>SUM(G10:I10)*$J$4</f>
        <v>0</v>
      </c>
      <c r="K10" s="42">
        <f t="shared" si="0"/>
        <v>0</v>
      </c>
      <c r="L10" s="42">
        <f t="shared" si="1"/>
        <v>0</v>
      </c>
      <c r="M10" s="29" t="s">
        <v>199</v>
      </c>
    </row>
    <row r="11" s="335" customFormat="1" ht="96" spans="1:13">
      <c r="A11" s="24">
        <v>7</v>
      </c>
      <c r="B11" s="63" t="s">
        <v>219</v>
      </c>
      <c r="C11" s="63" t="s">
        <v>333</v>
      </c>
      <c r="D11" s="63" t="s">
        <v>197</v>
      </c>
      <c r="E11" s="63" t="s">
        <v>198</v>
      </c>
      <c r="F11" s="106">
        <v>32.73</v>
      </c>
      <c r="G11" s="29"/>
      <c r="H11" s="29"/>
      <c r="I11" s="42">
        <f>SUM(G11:H11)*$I$4</f>
        <v>0</v>
      </c>
      <c r="J11" s="42">
        <f>SUM(G11:I11)*$J$4</f>
        <v>0</v>
      </c>
      <c r="K11" s="42">
        <f t="shared" si="0"/>
        <v>0</v>
      </c>
      <c r="L11" s="42">
        <f t="shared" si="1"/>
        <v>0</v>
      </c>
      <c r="M11" s="29" t="s">
        <v>218</v>
      </c>
    </row>
    <row r="12" s="335" customFormat="1" ht="48" spans="1:13">
      <c r="A12" s="24">
        <v>8</v>
      </c>
      <c r="B12" s="63" t="s">
        <v>208</v>
      </c>
      <c r="C12" s="63" t="s">
        <v>334</v>
      </c>
      <c r="D12" s="63" t="s">
        <v>210</v>
      </c>
      <c r="E12" s="63" t="s">
        <v>211</v>
      </c>
      <c r="F12" s="106">
        <f>3056.45-F10</f>
        <v>3020.91</v>
      </c>
      <c r="G12" s="29"/>
      <c r="H12" s="29"/>
      <c r="I12" s="42">
        <f>SUM(G12:H12)*$I$4</f>
        <v>0</v>
      </c>
      <c r="J12" s="42">
        <f>SUM(G12:I12)*$J$4</f>
        <v>0</v>
      </c>
      <c r="K12" s="42">
        <f t="shared" si="0"/>
        <v>0</v>
      </c>
      <c r="L12" s="42">
        <f t="shared" si="1"/>
        <v>0</v>
      </c>
      <c r="M12" s="29" t="s">
        <v>212</v>
      </c>
    </row>
    <row r="13" s="2" customFormat="1" ht="48" spans="1:13">
      <c r="A13" s="24">
        <v>9</v>
      </c>
      <c r="B13" s="63" t="s">
        <v>213</v>
      </c>
      <c r="C13" s="63" t="s">
        <v>335</v>
      </c>
      <c r="D13" s="63" t="s">
        <v>215</v>
      </c>
      <c r="E13" s="63" t="s">
        <v>211</v>
      </c>
      <c r="F13" s="106">
        <f>F12</f>
        <v>3020.91</v>
      </c>
      <c r="G13" s="29"/>
      <c r="H13" s="29"/>
      <c r="I13" s="42">
        <f>SUM(G13:H13)*$I$4</f>
        <v>0</v>
      </c>
      <c r="J13" s="42">
        <f>SUM(G13:I13)*$J$4</f>
        <v>0</v>
      </c>
      <c r="K13" s="42">
        <f t="shared" si="0"/>
        <v>0</v>
      </c>
      <c r="L13" s="42">
        <f t="shared" si="1"/>
        <v>0</v>
      </c>
      <c r="M13" s="29" t="s">
        <v>212</v>
      </c>
    </row>
    <row r="14" s="2" customFormat="1" ht="37.95" customHeight="1" spans="1:13">
      <c r="A14" s="24">
        <v>10</v>
      </c>
      <c r="B14" s="63" t="s">
        <v>221</v>
      </c>
      <c r="C14" s="63" t="s">
        <v>222</v>
      </c>
      <c r="D14" s="63" t="s">
        <v>223</v>
      </c>
      <c r="E14" s="63" t="s">
        <v>178</v>
      </c>
      <c r="F14" s="64">
        <f>(5.2+4.88)*5*0.4</f>
        <v>20.16</v>
      </c>
      <c r="G14" s="29"/>
      <c r="H14" s="29"/>
      <c r="I14" s="42">
        <f>SUM(G14:H14)*$I$4</f>
        <v>0</v>
      </c>
      <c r="J14" s="42">
        <f>SUM(G14:I14)*$J$4</f>
        <v>0</v>
      </c>
      <c r="K14" s="42">
        <f t="shared" si="0"/>
        <v>0</v>
      </c>
      <c r="L14" s="42">
        <f t="shared" si="1"/>
        <v>0</v>
      </c>
      <c r="M14" s="29" t="s">
        <v>224</v>
      </c>
    </row>
    <row r="15" s="336" customFormat="1" ht="30" customHeight="1" spans="1:13">
      <c r="A15" s="220" t="s">
        <v>225</v>
      </c>
      <c r="B15" s="221" t="s">
        <v>336</v>
      </c>
      <c r="C15" s="221"/>
      <c r="D15" s="222"/>
      <c r="E15" s="222"/>
      <c r="F15" s="222"/>
      <c r="G15" s="223"/>
      <c r="H15" s="224"/>
      <c r="I15" s="224"/>
      <c r="J15" s="224"/>
      <c r="K15" s="224"/>
      <c r="L15" s="231"/>
      <c r="M15" s="231"/>
    </row>
    <row r="16" s="2" customFormat="1" ht="85.05" customHeight="1" spans="1:13">
      <c r="A16" s="24">
        <v>1</v>
      </c>
      <c r="B16" s="70" t="s">
        <v>227</v>
      </c>
      <c r="C16" s="70" t="s">
        <v>228</v>
      </c>
      <c r="D16" s="189" t="s">
        <v>229</v>
      </c>
      <c r="E16" s="66" t="s">
        <v>198</v>
      </c>
      <c r="F16" s="106">
        <v>1507.46</v>
      </c>
      <c r="G16" s="29"/>
      <c r="H16" s="29"/>
      <c r="I16" s="42">
        <f>SUM(G16:H16)*$I$4</f>
        <v>0</v>
      </c>
      <c r="J16" s="42">
        <f>SUM(G16:I16)*$J$4</f>
        <v>0</v>
      </c>
      <c r="K16" s="42">
        <f t="shared" ref="K16:K27" si="2">SUM(G16:J16)</f>
        <v>0</v>
      </c>
      <c r="L16" s="42">
        <f t="shared" ref="L16:L27" si="3">F16*K16</f>
        <v>0</v>
      </c>
      <c r="M16" s="29" t="s">
        <v>230</v>
      </c>
    </row>
    <row r="17" s="2" customFormat="1" ht="96" spans="1:13">
      <c r="A17" s="24">
        <v>2</v>
      </c>
      <c r="B17" s="70" t="s">
        <v>231</v>
      </c>
      <c r="C17" s="70" t="s">
        <v>232</v>
      </c>
      <c r="D17" s="167" t="s">
        <v>233</v>
      </c>
      <c r="E17" s="66" t="s">
        <v>198</v>
      </c>
      <c r="F17" s="106">
        <f>3222.43-F18</f>
        <v>1787.23</v>
      </c>
      <c r="G17" s="29"/>
      <c r="H17" s="29"/>
      <c r="I17" s="42">
        <f>SUM(G17:H17)*$I$4</f>
        <v>0</v>
      </c>
      <c r="J17" s="42">
        <f>SUM(G17:I17)*$J$4</f>
        <v>0</v>
      </c>
      <c r="K17" s="42">
        <f t="shared" si="2"/>
        <v>0</v>
      </c>
      <c r="L17" s="42">
        <f t="shared" si="3"/>
        <v>0</v>
      </c>
      <c r="M17" s="29" t="s">
        <v>234</v>
      </c>
    </row>
    <row r="18" s="97" customFormat="1" ht="72" spans="1:13">
      <c r="A18" s="24">
        <v>3</v>
      </c>
      <c r="B18" s="70" t="s">
        <v>338</v>
      </c>
      <c r="C18" s="70" t="s">
        <v>357</v>
      </c>
      <c r="D18" s="167" t="s">
        <v>233</v>
      </c>
      <c r="E18" s="66" t="s">
        <v>198</v>
      </c>
      <c r="F18" s="106">
        <v>1435.2</v>
      </c>
      <c r="G18" s="29"/>
      <c r="H18" s="29"/>
      <c r="I18" s="42">
        <f>SUM(G18:H18)*$I$4</f>
        <v>0</v>
      </c>
      <c r="J18" s="42">
        <f>SUM(G18:I18)*$J$4</f>
        <v>0</v>
      </c>
      <c r="K18" s="42">
        <f t="shared" si="2"/>
        <v>0</v>
      </c>
      <c r="L18" s="42">
        <f t="shared" si="3"/>
        <v>0</v>
      </c>
      <c r="M18" s="29" t="s">
        <v>352</v>
      </c>
    </row>
    <row r="19" s="2" customFormat="1" ht="72" spans="1:13">
      <c r="A19" s="24">
        <v>4</v>
      </c>
      <c r="B19" s="70" t="s">
        <v>235</v>
      </c>
      <c r="C19" s="70" t="s">
        <v>353</v>
      </c>
      <c r="D19" s="189" t="s">
        <v>229</v>
      </c>
      <c r="E19" s="66" t="s">
        <v>198</v>
      </c>
      <c r="F19" s="106">
        <v>310.5</v>
      </c>
      <c r="G19" s="29"/>
      <c r="H19" s="29"/>
      <c r="I19" s="42">
        <f>SUM(G19:H19)*$I$4</f>
        <v>0</v>
      </c>
      <c r="J19" s="42">
        <f>SUM(G19:I19)*$J$4</f>
        <v>0</v>
      </c>
      <c r="K19" s="42">
        <f t="shared" si="2"/>
        <v>0</v>
      </c>
      <c r="L19" s="42">
        <f t="shared" si="3"/>
        <v>0</v>
      </c>
      <c r="M19" s="29" t="s">
        <v>230</v>
      </c>
    </row>
    <row r="20" s="2" customFormat="1" ht="96" spans="1:13">
      <c r="A20" s="24">
        <v>5</v>
      </c>
      <c r="B20" s="113" t="s">
        <v>237</v>
      </c>
      <c r="C20" s="114" t="s">
        <v>238</v>
      </c>
      <c r="D20" s="167" t="s">
        <v>233</v>
      </c>
      <c r="E20" s="116" t="s">
        <v>211</v>
      </c>
      <c r="F20" s="64">
        <v>345.5</v>
      </c>
      <c r="G20" s="29"/>
      <c r="H20" s="29"/>
      <c r="I20" s="42">
        <f>SUM(G20:H20)*$I$4</f>
        <v>0</v>
      </c>
      <c r="J20" s="42">
        <f>SUM(G20:I20)*$J$4</f>
        <v>0</v>
      </c>
      <c r="K20" s="42">
        <f t="shared" si="2"/>
        <v>0</v>
      </c>
      <c r="L20" s="42">
        <f t="shared" si="3"/>
        <v>0</v>
      </c>
      <c r="M20" s="29" t="s">
        <v>230</v>
      </c>
    </row>
    <row r="21" s="97" customFormat="1" ht="132" spans="1:13">
      <c r="A21" s="24">
        <v>6</v>
      </c>
      <c r="B21" s="186" t="s">
        <v>341</v>
      </c>
      <c r="C21" s="187" t="s">
        <v>240</v>
      </c>
      <c r="D21" s="188" t="s">
        <v>233</v>
      </c>
      <c r="E21" s="127" t="s">
        <v>211</v>
      </c>
      <c r="F21" s="64">
        <f>2446.15-F22</f>
        <v>2115.83</v>
      </c>
      <c r="G21" s="29"/>
      <c r="H21" s="29"/>
      <c r="I21" s="42">
        <f>SUM(G21:H21)*$I$4</f>
        <v>0</v>
      </c>
      <c r="J21" s="42">
        <f>SUM(G21:I21)*$J$4</f>
        <v>0</v>
      </c>
      <c r="K21" s="42">
        <f t="shared" si="2"/>
        <v>0</v>
      </c>
      <c r="L21" s="42">
        <f t="shared" si="3"/>
        <v>0</v>
      </c>
      <c r="M21" s="29" t="s">
        <v>354</v>
      </c>
    </row>
    <row r="22" s="2" customFormat="1" ht="132" spans="1:13">
      <c r="A22" s="24">
        <v>7</v>
      </c>
      <c r="B22" s="186" t="s">
        <v>239</v>
      </c>
      <c r="C22" s="187" t="s">
        <v>240</v>
      </c>
      <c r="D22" s="188" t="s">
        <v>233</v>
      </c>
      <c r="E22" s="127" t="s">
        <v>211</v>
      </c>
      <c r="F22" s="106">
        <v>330.32</v>
      </c>
      <c r="G22" s="29"/>
      <c r="H22" s="29"/>
      <c r="I22" s="42">
        <f>SUM(G22:H22)*$I$4</f>
        <v>0</v>
      </c>
      <c r="J22" s="42">
        <f>SUM(G22:I22)*$J$4</f>
        <v>0</v>
      </c>
      <c r="K22" s="42">
        <f t="shared" si="2"/>
        <v>0</v>
      </c>
      <c r="L22" s="42">
        <f t="shared" si="3"/>
        <v>0</v>
      </c>
      <c r="M22" s="29" t="s">
        <v>234</v>
      </c>
    </row>
    <row r="23" s="97" customFormat="1" ht="156" spans="1:13">
      <c r="A23" s="24">
        <v>8</v>
      </c>
      <c r="B23" s="186" t="s">
        <v>343</v>
      </c>
      <c r="C23" s="187" t="s">
        <v>355</v>
      </c>
      <c r="D23" s="188" t="s">
        <v>233</v>
      </c>
      <c r="E23" s="66" t="s">
        <v>198</v>
      </c>
      <c r="F23" s="106">
        <f>F24*1.1</f>
        <v>711.293</v>
      </c>
      <c r="G23" s="29"/>
      <c r="H23" s="29"/>
      <c r="I23" s="42">
        <f>SUM(G23:H23)*$I$4</f>
        <v>0</v>
      </c>
      <c r="J23" s="42">
        <f>SUM(G23:I23)*$J$4</f>
        <v>0</v>
      </c>
      <c r="K23" s="42">
        <f t="shared" si="2"/>
        <v>0</v>
      </c>
      <c r="L23" s="42">
        <f t="shared" si="3"/>
        <v>0</v>
      </c>
      <c r="M23" s="29" t="s">
        <v>354</v>
      </c>
    </row>
    <row r="24" s="2" customFormat="1" ht="72" spans="1:13">
      <c r="A24" s="24">
        <v>9</v>
      </c>
      <c r="B24" s="167" t="s">
        <v>241</v>
      </c>
      <c r="C24" s="167" t="s">
        <v>242</v>
      </c>
      <c r="D24" s="167" t="s">
        <v>197</v>
      </c>
      <c r="E24" s="66" t="s">
        <v>198</v>
      </c>
      <c r="F24" s="106">
        <v>646.63</v>
      </c>
      <c r="G24" s="29"/>
      <c r="H24" s="29"/>
      <c r="I24" s="42">
        <f>SUM(G24:H24)*$I$4</f>
        <v>0</v>
      </c>
      <c r="J24" s="42">
        <f>SUM(G24:I24)*$J$4</f>
        <v>0</v>
      </c>
      <c r="K24" s="42">
        <f t="shared" si="2"/>
        <v>0</v>
      </c>
      <c r="L24" s="42">
        <f t="shared" si="3"/>
        <v>0</v>
      </c>
      <c r="M24" s="29" t="s">
        <v>243</v>
      </c>
    </row>
    <row r="25" s="2" customFormat="1" ht="72" spans="1:13">
      <c r="A25" s="24">
        <v>10</v>
      </c>
      <c r="B25" s="70" t="s">
        <v>313</v>
      </c>
      <c r="C25" s="70" t="s">
        <v>314</v>
      </c>
      <c r="D25" s="189" t="s">
        <v>229</v>
      </c>
      <c r="E25" s="66" t="s">
        <v>198</v>
      </c>
      <c r="F25" s="106">
        <v>712.43</v>
      </c>
      <c r="G25" s="29"/>
      <c r="H25" s="29"/>
      <c r="I25" s="42">
        <f>SUM(G25:H25)*$I$4</f>
        <v>0</v>
      </c>
      <c r="J25" s="42">
        <f>SUM(G25:I25)*$J$4</f>
        <v>0</v>
      </c>
      <c r="K25" s="42">
        <f t="shared" si="2"/>
        <v>0</v>
      </c>
      <c r="L25" s="42">
        <f t="shared" si="3"/>
        <v>0</v>
      </c>
      <c r="M25" s="29" t="s">
        <v>315</v>
      </c>
    </row>
    <row r="26" s="2" customFormat="1" ht="60" spans="1:13">
      <c r="A26" s="24">
        <v>12</v>
      </c>
      <c r="B26" s="113" t="s">
        <v>247</v>
      </c>
      <c r="C26" s="71" t="s">
        <v>248</v>
      </c>
      <c r="D26" s="196" t="s">
        <v>249</v>
      </c>
      <c r="E26" s="116" t="s">
        <v>175</v>
      </c>
      <c r="F26" s="106">
        <v>618.64</v>
      </c>
      <c r="G26" s="29"/>
      <c r="H26" s="29"/>
      <c r="I26" s="42">
        <f>SUM(G26:H26)*$I$4</f>
        <v>0</v>
      </c>
      <c r="J26" s="42">
        <f>SUM(G26:I26)*$J$4</f>
        <v>0</v>
      </c>
      <c r="K26" s="42">
        <f t="shared" si="2"/>
        <v>0</v>
      </c>
      <c r="L26" s="42">
        <f t="shared" si="3"/>
        <v>0</v>
      </c>
      <c r="M26" s="29" t="s">
        <v>250</v>
      </c>
    </row>
    <row r="27" s="2" customFormat="1" ht="60" spans="1:13">
      <c r="A27" s="24">
        <v>13</v>
      </c>
      <c r="B27" s="113" t="s">
        <v>251</v>
      </c>
      <c r="C27" s="72" t="s">
        <v>252</v>
      </c>
      <c r="D27" s="196" t="s">
        <v>249</v>
      </c>
      <c r="E27" s="116" t="s">
        <v>175</v>
      </c>
      <c r="F27" s="106">
        <v>370.54</v>
      </c>
      <c r="G27" s="29"/>
      <c r="H27" s="29"/>
      <c r="I27" s="42">
        <f>SUM(G27:H27)*$I$4</f>
        <v>0</v>
      </c>
      <c r="J27" s="42">
        <f>SUM(G27:I27)*$J$4</f>
        <v>0</v>
      </c>
      <c r="K27" s="42">
        <f t="shared" si="2"/>
        <v>0</v>
      </c>
      <c r="L27" s="42">
        <f t="shared" si="3"/>
        <v>0</v>
      </c>
      <c r="M27" s="29" t="s">
        <v>253</v>
      </c>
    </row>
    <row r="28" s="336" customFormat="1" ht="30" customHeight="1" spans="1:13">
      <c r="A28" s="220" t="s">
        <v>254</v>
      </c>
      <c r="B28" s="221" t="s">
        <v>345</v>
      </c>
      <c r="C28" s="221"/>
      <c r="D28" s="222"/>
      <c r="E28" s="222"/>
      <c r="F28" s="222"/>
      <c r="G28" s="223"/>
      <c r="H28" s="224"/>
      <c r="I28" s="224"/>
      <c r="J28" s="224"/>
      <c r="K28" s="224"/>
      <c r="L28" s="231"/>
      <c r="M28" s="231"/>
    </row>
    <row r="29" s="2" customFormat="1" ht="84" spans="1:13">
      <c r="A29" s="24">
        <v>1</v>
      </c>
      <c r="B29" s="25" t="s">
        <v>256</v>
      </c>
      <c r="C29" s="118" t="s">
        <v>257</v>
      </c>
      <c r="D29" s="76" t="s">
        <v>197</v>
      </c>
      <c r="E29" s="66" t="s">
        <v>198</v>
      </c>
      <c r="F29" s="119">
        <v>5325.22</v>
      </c>
      <c r="G29" s="29"/>
      <c r="H29" s="29"/>
      <c r="I29" s="42">
        <f>SUM(G29:H29)*$I$4</f>
        <v>0</v>
      </c>
      <c r="J29" s="42">
        <f>SUM(G29:I29)*$J$4</f>
        <v>0</v>
      </c>
      <c r="K29" s="42">
        <f t="shared" ref="K29:K35" si="4">SUM(G29:J29)</f>
        <v>0</v>
      </c>
      <c r="L29" s="42">
        <f t="shared" ref="L29:L35" si="5">F29*K29</f>
        <v>0</v>
      </c>
      <c r="M29" s="29" t="s">
        <v>258</v>
      </c>
    </row>
    <row r="30" s="2" customFormat="1" ht="120" spans="1:13">
      <c r="A30" s="24">
        <v>2</v>
      </c>
      <c r="B30" s="25" t="s">
        <v>259</v>
      </c>
      <c r="C30" s="63" t="s">
        <v>322</v>
      </c>
      <c r="D30" s="76" t="s">
        <v>197</v>
      </c>
      <c r="E30" s="66" t="s">
        <v>198</v>
      </c>
      <c r="F30" s="119">
        <v>1834.24</v>
      </c>
      <c r="G30" s="29"/>
      <c r="H30" s="29"/>
      <c r="I30" s="42">
        <f>SUM(G30:H30)*$I$4</f>
        <v>0</v>
      </c>
      <c r="J30" s="42">
        <f>SUM(G30:I30)*$J$4</f>
        <v>0</v>
      </c>
      <c r="K30" s="42">
        <f t="shared" si="4"/>
        <v>0</v>
      </c>
      <c r="L30" s="42">
        <f t="shared" si="5"/>
        <v>0</v>
      </c>
      <c r="M30" s="29" t="s">
        <v>261</v>
      </c>
    </row>
    <row r="31" s="3" customFormat="1" ht="96" spans="1:13">
      <c r="A31" s="24">
        <v>3</v>
      </c>
      <c r="B31" s="308" t="s">
        <v>262</v>
      </c>
      <c r="C31" s="309" t="s">
        <v>263</v>
      </c>
      <c r="D31" s="188" t="s">
        <v>264</v>
      </c>
      <c r="E31" s="310" t="s">
        <v>265</v>
      </c>
      <c r="F31" s="119">
        <f>7+4*3+5</f>
        <v>24</v>
      </c>
      <c r="G31" s="29"/>
      <c r="H31" s="29"/>
      <c r="I31" s="42">
        <f>SUM(G31:H31)*$I$4</f>
        <v>0</v>
      </c>
      <c r="J31" s="42">
        <f>SUM(G31:I31)*$J$4</f>
        <v>0</v>
      </c>
      <c r="K31" s="42">
        <f t="shared" si="4"/>
        <v>0</v>
      </c>
      <c r="L31" s="42">
        <f t="shared" si="5"/>
        <v>0</v>
      </c>
      <c r="M31" s="29" t="s">
        <v>266</v>
      </c>
    </row>
    <row r="32" s="3" customFormat="1" ht="48" spans="1:13">
      <c r="A32" s="24">
        <v>6</v>
      </c>
      <c r="B32" s="271" t="s">
        <v>267</v>
      </c>
      <c r="C32" s="272" t="s">
        <v>268</v>
      </c>
      <c r="D32" s="212" t="s">
        <v>269</v>
      </c>
      <c r="E32" s="213" t="s">
        <v>211</v>
      </c>
      <c r="F32" s="119">
        <v>58.96</v>
      </c>
      <c r="G32" s="29"/>
      <c r="H32" s="29"/>
      <c r="I32" s="42">
        <f>SUM(G32:H32)*$I$4</f>
        <v>0</v>
      </c>
      <c r="J32" s="42">
        <f>SUM(G32:I32)*$J$4</f>
        <v>0</v>
      </c>
      <c r="K32" s="42">
        <f t="shared" si="4"/>
        <v>0</v>
      </c>
      <c r="L32" s="42">
        <f t="shared" si="5"/>
        <v>0</v>
      </c>
      <c r="M32" s="29" t="s">
        <v>270</v>
      </c>
    </row>
    <row r="33" s="2" customFormat="1" ht="60" spans="1:13">
      <c r="A33" s="24">
        <v>8</v>
      </c>
      <c r="B33" s="128" t="s">
        <v>271</v>
      </c>
      <c r="C33" s="129" t="s">
        <v>346</v>
      </c>
      <c r="D33" s="248" t="s">
        <v>273</v>
      </c>
      <c r="E33" s="131" t="s">
        <v>175</v>
      </c>
      <c r="F33" s="119">
        <f>189.25*1.15</f>
        <v>217.6375</v>
      </c>
      <c r="G33" s="29"/>
      <c r="H33" s="29"/>
      <c r="I33" s="42">
        <f>SUM(G33:H33)*$I$4</f>
        <v>0</v>
      </c>
      <c r="J33" s="42">
        <f>SUM(G33:I33)*$J$4</f>
        <v>0</v>
      </c>
      <c r="K33" s="42">
        <f t="shared" si="4"/>
        <v>0</v>
      </c>
      <c r="L33" s="42">
        <f t="shared" si="5"/>
        <v>0</v>
      </c>
      <c r="M33" s="29" t="s">
        <v>274</v>
      </c>
    </row>
    <row r="34" s="2" customFormat="1" ht="48" spans="1:13">
      <c r="A34" s="24">
        <v>9</v>
      </c>
      <c r="B34" s="128" t="s">
        <v>347</v>
      </c>
      <c r="C34" s="129" t="s">
        <v>348</v>
      </c>
      <c r="D34" s="248" t="s">
        <v>349</v>
      </c>
      <c r="E34" s="131" t="s">
        <v>198</v>
      </c>
      <c r="F34" s="119">
        <f>(1+0.5+0.5)*4.1*3+(0.7+0.5)*4.1</f>
        <v>29.52</v>
      </c>
      <c r="G34" s="29"/>
      <c r="H34" s="29"/>
      <c r="I34" s="42">
        <f>SUM(G34:H34)*$I$4</f>
        <v>0</v>
      </c>
      <c r="J34" s="42">
        <f>SUM(G34:I34)*$J$4</f>
        <v>0</v>
      </c>
      <c r="K34" s="42">
        <f t="shared" si="4"/>
        <v>0</v>
      </c>
      <c r="L34" s="42">
        <f t="shared" si="5"/>
        <v>0</v>
      </c>
      <c r="M34" s="29" t="s">
        <v>350</v>
      </c>
    </row>
    <row r="35" s="3" customFormat="1" ht="36" spans="1:13">
      <c r="A35" s="24">
        <v>16</v>
      </c>
      <c r="B35" s="337" t="s">
        <v>290</v>
      </c>
      <c r="C35" s="187" t="s">
        <v>291</v>
      </c>
      <c r="D35" s="272" t="s">
        <v>292</v>
      </c>
      <c r="E35" s="338" t="s">
        <v>138</v>
      </c>
      <c r="F35" s="206">
        <v>85</v>
      </c>
      <c r="G35" s="29"/>
      <c r="H35" s="29"/>
      <c r="I35" s="42">
        <f>SUM(G35:H35)*$I$4</f>
        <v>0</v>
      </c>
      <c r="J35" s="42">
        <f>SUM(G35:I35)*$J$4</f>
        <v>0</v>
      </c>
      <c r="K35" s="42">
        <f t="shared" si="4"/>
        <v>0</v>
      </c>
      <c r="L35" s="42">
        <f t="shared" si="5"/>
        <v>0</v>
      </c>
      <c r="M35" s="29"/>
    </row>
    <row r="36" s="334" customFormat="1" ht="30" customHeight="1" spans="1:13">
      <c r="A36" s="223" t="s">
        <v>293</v>
      </c>
      <c r="B36" s="221" t="s">
        <v>294</v>
      </c>
      <c r="C36" s="221"/>
      <c r="D36" s="222"/>
      <c r="E36" s="222"/>
      <c r="F36" s="222"/>
      <c r="G36" s="223"/>
      <c r="H36" s="224"/>
      <c r="I36" s="224"/>
      <c r="J36" s="224"/>
      <c r="K36" s="224"/>
      <c r="L36" s="231"/>
      <c r="M36" s="231"/>
    </row>
    <row r="37" s="3" customFormat="1" ht="25.95" customHeight="1" spans="1:13">
      <c r="A37" s="24">
        <v>2</v>
      </c>
      <c r="B37" s="27" t="s">
        <v>295</v>
      </c>
      <c r="C37" s="27" t="s">
        <v>296</v>
      </c>
      <c r="D37" s="27" t="s">
        <v>297</v>
      </c>
      <c r="E37" s="66" t="s">
        <v>198</v>
      </c>
      <c r="F37" s="119">
        <v>5768.44</v>
      </c>
      <c r="G37" s="29"/>
      <c r="H37" s="29"/>
      <c r="I37" s="42">
        <f>SUM(G37:H37)*$I$4</f>
        <v>0</v>
      </c>
      <c r="J37" s="42">
        <f>SUM(G37:I37)*$J$4</f>
        <v>0</v>
      </c>
      <c r="K37" s="42">
        <f>SUM(G37:J37)</f>
        <v>0</v>
      </c>
      <c r="L37" s="42">
        <f>F37*K37</f>
        <v>0</v>
      </c>
      <c r="M37" s="29" t="s">
        <v>298</v>
      </c>
    </row>
    <row r="38" s="3" customFormat="1" ht="25.95" customHeight="1" spans="1:13">
      <c r="A38" s="24">
        <v>3</v>
      </c>
      <c r="B38" s="27" t="s">
        <v>299</v>
      </c>
      <c r="C38" s="27" t="s">
        <v>300</v>
      </c>
      <c r="D38" s="27" t="s">
        <v>297</v>
      </c>
      <c r="E38" s="66" t="s">
        <v>198</v>
      </c>
      <c r="F38" s="119">
        <f>+F37</f>
        <v>5768.44</v>
      </c>
      <c r="G38" s="29"/>
      <c r="H38" s="29"/>
      <c r="I38" s="42">
        <f>SUM(G38:H38)*$I$4</f>
        <v>0</v>
      </c>
      <c r="J38" s="42">
        <f>SUM(G38:I38)*$J$4</f>
        <v>0</v>
      </c>
      <c r="K38" s="42">
        <f>SUM(G38:J38)</f>
        <v>0</v>
      </c>
      <c r="L38" s="42">
        <f>F38*K38</f>
        <v>0</v>
      </c>
      <c r="M38" s="29" t="s">
        <v>301</v>
      </c>
    </row>
    <row r="39" s="3" customFormat="1" ht="25.95" customHeight="1" spans="1:13">
      <c r="A39" s="24">
        <v>4</v>
      </c>
      <c r="B39" s="27" t="s">
        <v>302</v>
      </c>
      <c r="C39" s="27" t="s">
        <v>302</v>
      </c>
      <c r="D39" s="27" t="s">
        <v>297</v>
      </c>
      <c r="E39" s="66" t="s">
        <v>198</v>
      </c>
      <c r="F39" s="119">
        <f>+F38</f>
        <v>5768.44</v>
      </c>
      <c r="G39" s="29"/>
      <c r="H39" s="29"/>
      <c r="I39" s="42">
        <f>SUM(G39:H39)*$I$4</f>
        <v>0</v>
      </c>
      <c r="J39" s="42">
        <f>SUM(G39:I39)*$J$4</f>
        <v>0</v>
      </c>
      <c r="K39" s="42">
        <f>SUM(G39:J39)</f>
        <v>0</v>
      </c>
      <c r="L39" s="42">
        <f>F39*K39</f>
        <v>0</v>
      </c>
      <c r="M39" s="29" t="s">
        <v>303</v>
      </c>
    </row>
    <row r="40" ht="24.9" customHeight="1" spans="1:13">
      <c r="A40" s="24"/>
      <c r="B40" s="152" t="s">
        <v>63</v>
      </c>
      <c r="C40" s="152"/>
      <c r="D40" s="104"/>
      <c r="E40" s="104"/>
      <c r="F40" s="104"/>
      <c r="G40" s="66"/>
      <c r="H40" s="105"/>
      <c r="I40" s="105"/>
      <c r="J40" s="105"/>
      <c r="K40" s="105"/>
      <c r="L40" s="161">
        <f>SUM(L1:L39)</f>
        <v>0</v>
      </c>
      <c r="M40" s="105"/>
    </row>
    <row r="41" ht="20.1" customHeight="1" spans="1:7">
      <c r="A41" s="83"/>
      <c r="B41" s="83"/>
      <c r="C41" s="83"/>
      <c r="D41" s="83"/>
      <c r="E41" s="83"/>
      <c r="F41" s="83"/>
      <c r="G41" s="83"/>
    </row>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sheetData>
  <protectedRanges>
    <protectedRange sqref="B14" name="区域2_1_1_3_2_1"/>
  </protectedRanges>
  <autoFilter ref="A2:M40">
    <extLst/>
  </autoFilter>
  <mergeCells count="18">
    <mergeCell ref="A1:M1"/>
    <mergeCell ref="G2:J2"/>
    <mergeCell ref="B5:C5"/>
    <mergeCell ref="B15:C15"/>
    <mergeCell ref="B28:C28"/>
    <mergeCell ref="B36:C36"/>
    <mergeCell ref="B40:C40"/>
    <mergeCell ref="A2:A4"/>
    <mergeCell ref="B2:B4"/>
    <mergeCell ref="C2:C4"/>
    <mergeCell ref="D2:D4"/>
    <mergeCell ref="E2:E4"/>
    <mergeCell ref="F2:F4"/>
    <mergeCell ref="G3:G4"/>
    <mergeCell ref="H3:H4"/>
    <mergeCell ref="K2:K4"/>
    <mergeCell ref="L2:L4"/>
    <mergeCell ref="M2:M4"/>
  </mergeCells>
  <printOptions horizontalCentered="1" verticalCentered="1"/>
  <pageMargins left="0" right="0" top="0" bottom="0" header="0.5" footer="0.5"/>
  <pageSetup paperSize="9" scale="84"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0" master=""/>
  <rangeList sheetStid="29" master=""/>
  <rangeList sheetStid="28" master=""/>
  <rangeList sheetStid="40" master=""/>
  <rangeList sheetStid="27" master="">
    <arrUserId title="区域2_1_1_3_2_1" rangeCreator="" othersAccessPermission="edit"/>
  </rangeList>
  <rangeList sheetStid="26" master="">
    <arrUserId title="区域2_1_1_3_2_1" rangeCreator="" othersAccessPermission="edit"/>
  </rangeList>
  <rangeList sheetStid="5" master="">
    <arrUserId title="区域2_1_1_3_2_1" rangeCreator="" othersAccessPermission="edit"/>
  </rangeList>
  <rangeList sheetStid="17" master="">
    <arrUserId title="区域2_1_1_3_2_1" rangeCreator="" othersAccessPermission="edit"/>
  </rangeList>
  <rangeList sheetStid="22" master="">
    <arrUserId title="区域2_1_1_3_2_1" rangeCreator="" othersAccessPermission="edit"/>
  </rangeList>
  <rangeList sheetStid="23" master="">
    <arrUserId title="区域2_1_1_3_2_1" rangeCreator="" othersAccessPermission="edit"/>
  </rangeList>
  <rangeList sheetStid="18" master="">
    <arrUserId title="区域2_1_1_3_2_1" rangeCreator="" othersAccessPermission="edit"/>
  </rangeList>
  <rangeList sheetStid="39" master="">
    <arrUserId title="区域2_1_1_3_2_1" rangeCreator="" othersAccessPermission="edit"/>
  </rangeList>
  <rangeList sheetStid="38" master="">
    <arrUserId title="区域2_1_1_3_2_1" rangeCreator="" othersAccessPermission="edit"/>
  </rangeList>
  <rangeList sheetStid="37" master="">
    <arrUserId title="区域2_1_1_3_2_1" rangeCreator="" othersAccessPermission="edit"/>
  </rangeList>
  <rangeList sheetStid="36" master="">
    <arrUserId title="区域2_1_1_3_2_1" rangeCreator="" othersAccessPermission="edit"/>
  </rangeList>
  <rangeList sheetStid="35" master="">
    <arrUserId title="区域2_1_1_3_2_1" rangeCreator="" othersAccessPermission="edit"/>
  </rangeList>
  <rangeList sheetStid="34" master=""/>
  <rangeList sheetStid="33" master=""/>
  <rangeList sheetStid="32" master="">
    <arrUserId title="区域2_1_1_3_2_1" rangeCreator="" othersAccessPermission="edit"/>
  </rangeList>
  <rangeList sheetStid="31"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编制说明</vt:lpstr>
      <vt:lpstr>标段划分报价汇总表</vt:lpstr>
      <vt:lpstr>楼栋报价汇总表</vt:lpstr>
      <vt:lpstr>其它工作项目计价表</vt:lpstr>
      <vt:lpstr>F食堂2#（F食堂1#）</vt:lpstr>
      <vt:lpstr>F后勤服务中心</vt:lpstr>
      <vt:lpstr>F训1#（F训2#）</vt:lpstr>
      <vt:lpstr>E训1#（A训2#、A训1#、E训2#）</vt:lpstr>
      <vt:lpstr>A训5#、A训4#（A训3#，H训1#，H训2#）.</vt:lpstr>
      <vt:lpstr>H训3#（H训4#A训6#E训4#E训3#F训3#F训4#</vt:lpstr>
      <vt:lpstr>F宿9#10（F宿3~8#、F宿11#~14#</vt:lpstr>
      <vt:lpstr>F宿1#2#（套）</vt:lpstr>
      <vt:lpstr>F教1#~F教4#、E教1#~E教6#</vt:lpstr>
      <vt:lpstr>A教1#2#</vt:lpstr>
      <vt:lpstr>H行政1#-H行政2#</vt:lpstr>
      <vt:lpstr>H图文信息中心</vt:lpstr>
      <vt:lpstr>G综合楼</vt:lpstr>
      <vt:lpstr>F医1#-F医2#</vt:lpstr>
      <vt:lpstr>H艺院1#2#</vt:lpstr>
      <vt:lpstr>游泳馆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2022-12-20T08:25:00Z</dcterms:created>
  <cp:lastPrinted>2023-01-10T02:25:00Z</cp:lastPrinted>
  <dcterms:modified xsi:type="dcterms:W3CDTF">2023-01-12T03:19:16Z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B6CD435A34AA45369B1BF402E3EB7E48</vt:lpwstr>
  </property>
  <property fmtid="{D5CDD505-2E9C-101B-9397-08002B2CF9AE}" pid="3" name="KSOProductBuildVer">
    <vt:lpwstr>2052-11.1.0.13703</vt:lpwstr>
  </property>
</Properties>
</file>